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65" windowWidth="18060" windowHeight="9480"/>
  </bookViews>
  <sheets>
    <sheet name="Welcome" sheetId="7" r:id="rId1"/>
    <sheet name="Map for 5 brands" sheetId="8" r:id="rId2"/>
    <sheet name="5 brands calc" sheetId="11" state="hidden" r:id="rId3"/>
    <sheet name="Map for 6 brands" sheetId="9" r:id="rId4"/>
    <sheet name="6 brands calc" sheetId="12" state="hidden" r:id="rId5"/>
    <sheet name="Map for 7 brands" sheetId="10" r:id="rId6"/>
    <sheet name="Weighted approach" sheetId="3" state="hidden" r:id="rId7"/>
    <sheet name="OS Perceptual Map" sheetId="4" state="hidden" r:id="rId8"/>
  </sheets>
  <definedNames>
    <definedName name="biggest_lookup">#REF!</definedName>
    <definedName name="brand_data">'Weighted approach'!$B$2:$J$10</definedName>
    <definedName name="Brand_number">'Weighted approach'!$D$2:$J$2</definedName>
    <definedName name="closefit">'Weighted approach'!$Q$32:$R$40</definedName>
    <definedName name="five_brand_data">'5 brands calc'!$B$2:$H$8</definedName>
    <definedName name="Five_brand_map">'Map for 5 brands'!$V$3:$AG$3</definedName>
    <definedName name="five_spread">'5 brands calc'!$D$12:$H$12</definedName>
    <definedName name="radius_points">#REF!</definedName>
    <definedName name="reverse_scores">#REF!</definedName>
    <definedName name="six_brand_data">'6 brands calc'!$B$2:$I$9</definedName>
    <definedName name="six_set">'6 brands calc'!$D$12:$I$12</definedName>
    <definedName name="six_spread">'6 brands calc'!$B$2:$I$9</definedName>
    <definedName name="total_scores">#REF!</definedName>
    <definedName name="Total_spread">'Weighted approach'!$D$12:$J$12</definedName>
    <definedName name="weightings">'Weighted approach'!$N$22:$O$80</definedName>
    <definedName name="weights">'Weighted approach'!$N$72:$O$80</definedName>
  </definedNames>
  <calcPr calcId="145621"/>
</workbook>
</file>

<file path=xl/calcChain.xml><?xml version="1.0" encoding="utf-8"?>
<calcChain xmlns="http://schemas.openxmlformats.org/spreadsheetml/2006/main">
  <c r="E67" i="3" l="1"/>
  <c r="F67" i="3"/>
  <c r="G67" i="3"/>
  <c r="H67" i="3"/>
  <c r="I67" i="3"/>
  <c r="J67" i="3"/>
  <c r="D67" i="3"/>
  <c r="H43" i="3"/>
  <c r="H41" i="3"/>
  <c r="K41" i="3" s="1"/>
  <c r="M41" i="3" s="1"/>
  <c r="H39" i="3"/>
  <c r="K36" i="3"/>
  <c r="M36" i="3" s="1"/>
  <c r="H36" i="3"/>
  <c r="H43" i="12"/>
  <c r="M41" i="12"/>
  <c r="K41" i="12"/>
  <c r="H41" i="12"/>
  <c r="H39" i="12"/>
  <c r="K36" i="12"/>
  <c r="M36" i="12" s="1"/>
  <c r="H36" i="12"/>
  <c r="J29" i="12"/>
  <c r="M36" i="11" l="1"/>
  <c r="K36" i="11"/>
  <c r="H43" i="11"/>
  <c r="H41" i="11"/>
  <c r="H39" i="11"/>
  <c r="H36" i="11"/>
  <c r="J29" i="11"/>
  <c r="I29" i="11"/>
  <c r="C5" i="3" l="1"/>
  <c r="E3" i="3" s="1"/>
  <c r="C6" i="3"/>
  <c r="S21" i="3" s="1"/>
  <c r="C7" i="3"/>
  <c r="G3" i="3" s="1"/>
  <c r="C8" i="3"/>
  <c r="W23" i="3" s="1"/>
  <c r="C9" i="3"/>
  <c r="S24" i="3" s="1"/>
  <c r="C10" i="3"/>
  <c r="S25" i="3" s="1"/>
  <c r="C4" i="3"/>
  <c r="D3" i="3" s="1"/>
  <c r="O3" i="3"/>
  <c r="D6" i="3" s="1"/>
  <c r="O4" i="3"/>
  <c r="D7" i="3" s="1"/>
  <c r="O5" i="3"/>
  <c r="D8" i="3" s="1"/>
  <c r="O6" i="3"/>
  <c r="D9" i="3" s="1"/>
  <c r="O7" i="3"/>
  <c r="D10" i="3" s="1"/>
  <c r="O8" i="3"/>
  <c r="E6" i="3" s="1"/>
  <c r="O9" i="3"/>
  <c r="E7" i="3" s="1"/>
  <c r="O10" i="3"/>
  <c r="E8" i="3" s="1"/>
  <c r="O11" i="3"/>
  <c r="E9" i="3" s="1"/>
  <c r="O12" i="3"/>
  <c r="E10" i="3" s="1"/>
  <c r="O13" i="3"/>
  <c r="F7" i="3" s="1"/>
  <c r="O14" i="3"/>
  <c r="F8" i="3" s="1"/>
  <c r="O15" i="3"/>
  <c r="F9" i="3" s="1"/>
  <c r="O16" i="3"/>
  <c r="F10" i="3" s="1"/>
  <c r="O17" i="3"/>
  <c r="G8" i="3" s="1"/>
  <c r="O18" i="3"/>
  <c r="G9" i="3" s="1"/>
  <c r="O19" i="3"/>
  <c r="G10" i="3" s="1"/>
  <c r="O20" i="3"/>
  <c r="H9" i="3" s="1"/>
  <c r="O21" i="3"/>
  <c r="H10" i="3" s="1"/>
  <c r="O22" i="3"/>
  <c r="I10" i="3" s="1"/>
  <c r="O2" i="3"/>
  <c r="D5" i="3" s="1"/>
  <c r="F34" i="10"/>
  <c r="E34" i="10"/>
  <c r="E33" i="10"/>
  <c r="F33" i="10"/>
  <c r="F32" i="10"/>
  <c r="E32" i="10"/>
  <c r="F30" i="10"/>
  <c r="F31" i="10"/>
  <c r="F29" i="10"/>
  <c r="E29" i="10"/>
  <c r="E30" i="10" s="1"/>
  <c r="E31" i="10" s="1"/>
  <c r="F26" i="10"/>
  <c r="F27" i="10"/>
  <c r="F28" i="10"/>
  <c r="F25" i="10"/>
  <c r="E25" i="10"/>
  <c r="E26" i="10" s="1"/>
  <c r="E27" i="10" s="1"/>
  <c r="E28" i="10" s="1"/>
  <c r="F21" i="10"/>
  <c r="F22" i="10"/>
  <c r="F23" i="10"/>
  <c r="F24" i="10"/>
  <c r="F20" i="10"/>
  <c r="E20" i="10"/>
  <c r="E21" i="10" s="1"/>
  <c r="E22" i="10" s="1"/>
  <c r="E23" i="10" s="1"/>
  <c r="E24" i="10" s="1"/>
  <c r="F19" i="10"/>
  <c r="F18" i="10"/>
  <c r="F17" i="10"/>
  <c r="F16" i="10"/>
  <c r="F15" i="10"/>
  <c r="F14" i="10"/>
  <c r="E14" i="10"/>
  <c r="E15" i="10" s="1"/>
  <c r="E16" i="10" s="1"/>
  <c r="E17" i="10" s="1"/>
  <c r="E18" i="10" s="1"/>
  <c r="E19" i="10" s="1"/>
  <c r="N4" i="12"/>
  <c r="D6" i="12" s="1"/>
  <c r="F4" i="12" s="1"/>
  <c r="N5" i="12"/>
  <c r="D7" i="12" s="1"/>
  <c r="G4" i="12" s="1"/>
  <c r="N6" i="12"/>
  <c r="D8" i="12" s="1"/>
  <c r="H4" i="12" s="1"/>
  <c r="N7" i="12"/>
  <c r="D9" i="12" s="1"/>
  <c r="I4" i="12" s="1"/>
  <c r="N8" i="12"/>
  <c r="E6" i="12" s="1"/>
  <c r="F5" i="12" s="1"/>
  <c r="N9" i="12"/>
  <c r="E7" i="12" s="1"/>
  <c r="G5" i="12" s="1"/>
  <c r="N10" i="12"/>
  <c r="E8" i="12" s="1"/>
  <c r="H5" i="12" s="1"/>
  <c r="N11" i="12"/>
  <c r="E9" i="12" s="1"/>
  <c r="I5" i="12" s="1"/>
  <c r="N12" i="12"/>
  <c r="F7" i="12" s="1"/>
  <c r="G6" i="12" s="1"/>
  <c r="N13" i="12"/>
  <c r="F8" i="12" s="1"/>
  <c r="H6" i="12" s="1"/>
  <c r="N14" i="12"/>
  <c r="F9" i="12" s="1"/>
  <c r="I6" i="12" s="1"/>
  <c r="N15" i="12"/>
  <c r="G8" i="12" s="1"/>
  <c r="H7" i="12" s="1"/>
  <c r="N16" i="12"/>
  <c r="G9" i="12" s="1"/>
  <c r="I7" i="12" s="1"/>
  <c r="N17" i="12"/>
  <c r="H9" i="12" s="1"/>
  <c r="I8" i="12" s="1"/>
  <c r="N3" i="12"/>
  <c r="D5" i="12" s="1"/>
  <c r="E4" i="12" s="1"/>
  <c r="C5" i="12"/>
  <c r="W20" i="12" s="1"/>
  <c r="C6" i="12"/>
  <c r="S21" i="12" s="1"/>
  <c r="C7" i="12"/>
  <c r="S22" i="12" s="1"/>
  <c r="C8" i="12"/>
  <c r="H3" i="12" s="1"/>
  <c r="C9" i="12"/>
  <c r="W24" i="12" s="1"/>
  <c r="C4" i="12"/>
  <c r="S19" i="12" s="1"/>
  <c r="R33" i="12"/>
  <c r="R34" i="12" s="1"/>
  <c r="R35" i="12" s="1"/>
  <c r="R36" i="12" s="1"/>
  <c r="R37" i="12" s="1"/>
  <c r="R38" i="12" s="1"/>
  <c r="R39" i="12" s="1"/>
  <c r="R40" i="12" s="1"/>
  <c r="W25" i="12"/>
  <c r="F22" i="12"/>
  <c r="G22" i="12" s="1"/>
  <c r="H22" i="12" s="1"/>
  <c r="I22" i="12" s="1"/>
  <c r="E22" i="12"/>
  <c r="J9" i="12"/>
  <c r="J8" i="12"/>
  <c r="J7" i="12"/>
  <c r="J6" i="12"/>
  <c r="J5" i="12"/>
  <c r="J4" i="12"/>
  <c r="F27" i="9"/>
  <c r="E27" i="9"/>
  <c r="F26" i="9"/>
  <c r="F25" i="9"/>
  <c r="E25" i="9"/>
  <c r="E26" i="9" s="1"/>
  <c r="F23" i="9"/>
  <c r="F24" i="9"/>
  <c r="F22" i="9"/>
  <c r="E22" i="9"/>
  <c r="E23" i="9" s="1"/>
  <c r="E24" i="9" s="1"/>
  <c r="F19" i="9"/>
  <c r="F20" i="9"/>
  <c r="F21" i="9"/>
  <c r="F18" i="9"/>
  <c r="E18" i="9"/>
  <c r="E19" i="9" s="1"/>
  <c r="E20" i="9" s="1"/>
  <c r="E21" i="9" s="1"/>
  <c r="F17" i="9"/>
  <c r="F16" i="9"/>
  <c r="F15" i="9"/>
  <c r="F14" i="9"/>
  <c r="F13" i="9"/>
  <c r="E13" i="9"/>
  <c r="E14" i="9" s="1"/>
  <c r="E15" i="9" s="1"/>
  <c r="E16" i="9" s="1"/>
  <c r="E17" i="9" s="1"/>
  <c r="I61" i="11"/>
  <c r="J61" i="11"/>
  <c r="N4" i="11"/>
  <c r="C5" i="11" s="1"/>
  <c r="S20" i="11" s="1"/>
  <c r="N5" i="11"/>
  <c r="C6" i="11" s="1"/>
  <c r="N6" i="11"/>
  <c r="C7" i="11" s="1"/>
  <c r="G3" i="11" s="1"/>
  <c r="N7" i="11"/>
  <c r="C8" i="11" s="1"/>
  <c r="N3" i="11"/>
  <c r="C4" i="11" s="1"/>
  <c r="S19" i="11" s="1"/>
  <c r="P4" i="11"/>
  <c r="D6" i="11" s="1"/>
  <c r="F4" i="11" s="1"/>
  <c r="P5" i="11"/>
  <c r="D7" i="11" s="1"/>
  <c r="G4" i="11" s="1"/>
  <c r="P6" i="11"/>
  <c r="D8" i="11" s="1"/>
  <c r="H4" i="11" s="1"/>
  <c r="P7" i="11"/>
  <c r="E6" i="11" s="1"/>
  <c r="F5" i="11" s="1"/>
  <c r="P8" i="11"/>
  <c r="E7" i="11" s="1"/>
  <c r="G5" i="11" s="1"/>
  <c r="P9" i="11"/>
  <c r="E8" i="11" s="1"/>
  <c r="H5" i="11" s="1"/>
  <c r="P10" i="11"/>
  <c r="F7" i="11" s="1"/>
  <c r="G6" i="11" s="1"/>
  <c r="P11" i="11"/>
  <c r="F8" i="11" s="1"/>
  <c r="H6" i="11" s="1"/>
  <c r="P12" i="11"/>
  <c r="G8" i="11" s="1"/>
  <c r="H7" i="11" s="1"/>
  <c r="P3" i="11"/>
  <c r="D5" i="11" s="1"/>
  <c r="E4" i="11" s="1"/>
  <c r="K41" i="11"/>
  <c r="M41" i="11" s="1"/>
  <c r="R33" i="11"/>
  <c r="R34" i="11" s="1"/>
  <c r="R35" i="11" s="1"/>
  <c r="R36" i="11" s="1"/>
  <c r="R37" i="11" s="1"/>
  <c r="R38" i="11" s="1"/>
  <c r="R39" i="11" s="1"/>
  <c r="R40" i="11" s="1"/>
  <c r="E22" i="11"/>
  <c r="F22" i="11" s="1"/>
  <c r="G22" i="11" s="1"/>
  <c r="H22" i="11" s="1"/>
  <c r="J9" i="11"/>
  <c r="J8" i="11"/>
  <c r="I8" i="11"/>
  <c r="J7" i="11"/>
  <c r="I7" i="11"/>
  <c r="J6" i="11"/>
  <c r="I6" i="11"/>
  <c r="J5" i="11"/>
  <c r="I5" i="11"/>
  <c r="J4" i="11"/>
  <c r="I4" i="11"/>
  <c r="F21" i="8"/>
  <c r="E21" i="8"/>
  <c r="F20" i="8"/>
  <c r="F19" i="8"/>
  <c r="E19" i="8"/>
  <c r="E20" i="8" s="1"/>
  <c r="F17" i="8"/>
  <c r="F18" i="8"/>
  <c r="F16" i="8"/>
  <c r="E16" i="8"/>
  <c r="E17" i="8" s="1"/>
  <c r="E18" i="8" s="1"/>
  <c r="F13" i="8"/>
  <c r="F14" i="8"/>
  <c r="F15" i="8"/>
  <c r="F12" i="8"/>
  <c r="E12" i="8"/>
  <c r="E13" i="8" s="1"/>
  <c r="E14" i="8" s="1"/>
  <c r="E15" i="8" s="1"/>
  <c r="W24" i="3"/>
  <c r="W25" i="3"/>
  <c r="R33" i="3"/>
  <c r="R34" i="3" s="1"/>
  <c r="R35" i="3" s="1"/>
  <c r="R36" i="3" s="1"/>
  <c r="R37" i="3" s="1"/>
  <c r="R38" i="3" s="1"/>
  <c r="R39" i="3" s="1"/>
  <c r="R40" i="3" s="1"/>
  <c r="E22" i="3"/>
  <c r="F22" i="3" s="1"/>
  <c r="G22" i="3" s="1"/>
  <c r="H22" i="3" s="1"/>
  <c r="I22" i="3" s="1"/>
  <c r="J22" i="3" s="1"/>
  <c r="G25" i="4"/>
  <c r="E25" i="4"/>
  <c r="G23" i="4"/>
  <c r="E23" i="4"/>
  <c r="S20" i="3" l="1"/>
  <c r="W20" i="3"/>
  <c r="S19" i="3"/>
  <c r="W19" i="3"/>
  <c r="W22" i="3"/>
  <c r="J3" i="3"/>
  <c r="I3" i="3"/>
  <c r="F3" i="3"/>
  <c r="W21" i="3"/>
  <c r="S23" i="3"/>
  <c r="H3" i="3"/>
  <c r="S22" i="3"/>
  <c r="S20" i="12"/>
  <c r="E3" i="12"/>
  <c r="W22" i="12"/>
  <c r="E12" i="12"/>
  <c r="F3" i="12"/>
  <c r="D3" i="12"/>
  <c r="W19" i="12"/>
  <c r="W21" i="12"/>
  <c r="S24" i="12"/>
  <c r="I3" i="12"/>
  <c r="G12" i="12"/>
  <c r="I12" i="12"/>
  <c r="F12" i="12"/>
  <c r="H12" i="12"/>
  <c r="D12" i="12"/>
  <c r="S23" i="12"/>
  <c r="G3" i="12"/>
  <c r="W23" i="12"/>
  <c r="J69" i="12"/>
  <c r="G12" i="11"/>
  <c r="E12" i="11"/>
  <c r="D12" i="11"/>
  <c r="H12" i="11"/>
  <c r="H3" i="11"/>
  <c r="S23" i="11"/>
  <c r="S22" i="11"/>
  <c r="S21" i="11"/>
  <c r="F3" i="11"/>
  <c r="E3" i="11"/>
  <c r="D3" i="11"/>
  <c r="I69" i="11"/>
  <c r="F12" i="11"/>
  <c r="D12" i="3"/>
  <c r="J9" i="3"/>
  <c r="J8" i="3"/>
  <c r="I8" i="3"/>
  <c r="J7" i="3"/>
  <c r="I7" i="3"/>
  <c r="H7" i="3"/>
  <c r="J6" i="3"/>
  <c r="I6" i="3"/>
  <c r="H6" i="3"/>
  <c r="G6" i="3"/>
  <c r="J5" i="3"/>
  <c r="I5" i="3"/>
  <c r="H5" i="3"/>
  <c r="G5" i="3"/>
  <c r="F5" i="3"/>
  <c r="J4" i="3"/>
  <c r="I4" i="3"/>
  <c r="H4" i="3"/>
  <c r="G4" i="3"/>
  <c r="F4" i="3"/>
  <c r="E4" i="3"/>
  <c r="E12" i="3" s="1"/>
  <c r="H14" i="12" l="1"/>
  <c r="I14" i="12"/>
  <c r="D14" i="12"/>
  <c r="G14" i="12"/>
  <c r="F14" i="12"/>
  <c r="E14" i="12"/>
  <c r="E15" i="12" s="1"/>
  <c r="L12" i="12"/>
  <c r="F14" i="11"/>
  <c r="F15" i="11" s="1"/>
  <c r="G14" i="11"/>
  <c r="E14" i="11"/>
  <c r="E15" i="11" s="1"/>
  <c r="H14" i="11"/>
  <c r="H69" i="11" s="1"/>
  <c r="D14" i="11"/>
  <c r="J69" i="11"/>
  <c r="L12" i="11"/>
  <c r="J12" i="3"/>
  <c r="G12" i="3"/>
  <c r="F12" i="3"/>
  <c r="I12" i="3"/>
  <c r="H12" i="3"/>
  <c r="G69" i="12" l="1"/>
  <c r="G15" i="12"/>
  <c r="D17" i="12"/>
  <c r="D15" i="12"/>
  <c r="D69" i="12"/>
  <c r="I17" i="12"/>
  <c r="I15" i="12"/>
  <c r="F20" i="12"/>
  <c r="F15" i="12"/>
  <c r="H19" i="12"/>
  <c r="H15" i="12"/>
  <c r="L12" i="3"/>
  <c r="H17" i="12"/>
  <c r="H20" i="12"/>
  <c r="D19" i="12"/>
  <c r="I69" i="12"/>
  <c r="I20" i="12"/>
  <c r="F19" i="12"/>
  <c r="G20" i="12"/>
  <c r="I19" i="12"/>
  <c r="G17" i="12"/>
  <c r="E17" i="12"/>
  <c r="E19" i="12"/>
  <c r="E69" i="12"/>
  <c r="E20" i="12"/>
  <c r="F69" i="12"/>
  <c r="D20" i="12"/>
  <c r="F17" i="12"/>
  <c r="H69" i="12"/>
  <c r="G19" i="12"/>
  <c r="F19" i="11"/>
  <c r="F69" i="11"/>
  <c r="E17" i="11"/>
  <c r="F17" i="11"/>
  <c r="F20" i="11"/>
  <c r="E20" i="11"/>
  <c r="H19" i="11"/>
  <c r="E19" i="11"/>
  <c r="E69" i="11"/>
  <c r="D20" i="11"/>
  <c r="D69" i="11"/>
  <c r="D19" i="11"/>
  <c r="D17" i="11"/>
  <c r="D15" i="11"/>
  <c r="H20" i="11"/>
  <c r="H17" i="11"/>
  <c r="H15" i="11"/>
  <c r="G17" i="11"/>
  <c r="G15" i="11"/>
  <c r="G69" i="11"/>
  <c r="G19" i="11"/>
  <c r="G20" i="11"/>
  <c r="J14" i="3"/>
  <c r="J68" i="3" s="1"/>
  <c r="E14" i="3"/>
  <c r="E68" i="3" s="1"/>
  <c r="F14" i="3"/>
  <c r="F68" i="3" s="1"/>
  <c r="D14" i="3"/>
  <c r="D68" i="3" s="1"/>
  <c r="H14" i="3"/>
  <c r="H68" i="3" s="1"/>
  <c r="G14" i="3"/>
  <c r="G68" i="3" s="1"/>
  <c r="I14" i="3"/>
  <c r="I68" i="3" s="1"/>
  <c r="L68" i="3" l="1"/>
  <c r="N59" i="12"/>
  <c r="K20" i="12"/>
  <c r="K19" i="12"/>
  <c r="K17" i="12"/>
  <c r="K19" i="11"/>
  <c r="K20" i="11"/>
  <c r="K17" i="11"/>
  <c r="I26" i="11"/>
  <c r="D20" i="3"/>
  <c r="D19" i="3"/>
  <c r="I19" i="3"/>
  <c r="I20" i="3"/>
  <c r="F19" i="3"/>
  <c r="F20" i="3"/>
  <c r="G20" i="3"/>
  <c r="G19" i="3"/>
  <c r="E19" i="3"/>
  <c r="E20" i="3"/>
  <c r="H20" i="3"/>
  <c r="H19" i="3"/>
  <c r="J19" i="3"/>
  <c r="J20" i="3"/>
  <c r="J17" i="3"/>
  <c r="J15" i="3"/>
  <c r="J70" i="3"/>
  <c r="E17" i="3"/>
  <c r="E15" i="3"/>
  <c r="F70" i="3"/>
  <c r="F15" i="3"/>
  <c r="F17" i="3"/>
  <c r="E70" i="3"/>
  <c r="I17" i="3"/>
  <c r="H15" i="3"/>
  <c r="D17" i="3"/>
  <c r="G17" i="3"/>
  <c r="G15" i="3"/>
  <c r="D70" i="3"/>
  <c r="D15" i="3"/>
  <c r="G70" i="3"/>
  <c r="H17" i="3"/>
  <c r="H70" i="3"/>
  <c r="I15" i="3"/>
  <c r="I70" i="3"/>
  <c r="J62" i="12" l="1"/>
  <c r="D48" i="11"/>
  <c r="F23" i="12"/>
  <c r="D23" i="12"/>
  <c r="G23" i="12"/>
  <c r="E23" i="12"/>
  <c r="I23" i="12"/>
  <c r="H23" i="12"/>
  <c r="E48" i="12"/>
  <c r="E54" i="12"/>
  <c r="H54" i="12"/>
  <c r="J54" i="12"/>
  <c r="H48" i="12"/>
  <c r="J48" i="12"/>
  <c r="D54" i="12"/>
  <c r="I48" i="12"/>
  <c r="D48" i="12"/>
  <c r="G48" i="12"/>
  <c r="F48" i="12"/>
  <c r="G54" i="12"/>
  <c r="F54" i="12"/>
  <c r="I54" i="12"/>
  <c r="J28" i="12"/>
  <c r="J26" i="12"/>
  <c r="J27" i="12"/>
  <c r="J54" i="11"/>
  <c r="E23" i="11"/>
  <c r="D23" i="11"/>
  <c r="H23" i="11"/>
  <c r="F23" i="11"/>
  <c r="G23" i="11"/>
  <c r="G48" i="11"/>
  <c r="G54" i="11"/>
  <c r="I54" i="11"/>
  <c r="F54" i="11"/>
  <c r="E48" i="11"/>
  <c r="E54" i="11"/>
  <c r="H54" i="11"/>
  <c r="F48" i="11"/>
  <c r="I48" i="11"/>
  <c r="J48" i="11"/>
  <c r="H48" i="11"/>
  <c r="D54" i="11"/>
  <c r="I27" i="11"/>
  <c r="I28" i="11"/>
  <c r="J28" i="11"/>
  <c r="J26" i="11"/>
  <c r="J27" i="11"/>
  <c r="K20" i="3"/>
  <c r="K17" i="3"/>
  <c r="K19" i="3"/>
  <c r="H24" i="12" l="1"/>
  <c r="E24" i="12"/>
  <c r="E29" i="12" s="1"/>
  <c r="F24" i="12"/>
  <c r="F29" i="12" s="1"/>
  <c r="G24" i="12"/>
  <c r="G29" i="12" s="1"/>
  <c r="I24" i="12"/>
  <c r="I29" i="12" s="1"/>
  <c r="D24" i="12"/>
  <c r="D29" i="12" s="1"/>
  <c r="H24" i="11"/>
  <c r="E24" i="11"/>
  <c r="E29" i="11" s="1"/>
  <c r="F24" i="11"/>
  <c r="F29" i="11" s="1"/>
  <c r="D24" i="11"/>
  <c r="D29" i="11" s="1"/>
  <c r="G24" i="11"/>
  <c r="G29" i="11" s="1"/>
  <c r="E54" i="3"/>
  <c r="I54" i="3"/>
  <c r="F48" i="3"/>
  <c r="J48" i="3"/>
  <c r="H48" i="3"/>
  <c r="E48" i="3"/>
  <c r="F54" i="3"/>
  <c r="J54" i="3"/>
  <c r="G48" i="3"/>
  <c r="D48" i="3"/>
  <c r="G54" i="3"/>
  <c r="D54" i="3"/>
  <c r="H54" i="3"/>
  <c r="I48" i="3"/>
  <c r="G23" i="3"/>
  <c r="D23" i="3"/>
  <c r="E23" i="3"/>
  <c r="F23" i="3"/>
  <c r="J23" i="3"/>
  <c r="H23" i="3"/>
  <c r="I23" i="3"/>
  <c r="H26" i="12" l="1"/>
  <c r="H29" i="12"/>
  <c r="K29" i="12" s="1"/>
  <c r="H26" i="11"/>
  <c r="H29" i="11"/>
  <c r="K29" i="11" s="1"/>
  <c r="H28" i="12"/>
  <c r="H27" i="12"/>
  <c r="E26" i="12"/>
  <c r="E28" i="12"/>
  <c r="E27" i="12"/>
  <c r="G26" i="12"/>
  <c r="G27" i="12"/>
  <c r="G28" i="12"/>
  <c r="F26" i="12"/>
  <c r="F27" i="12"/>
  <c r="F28" i="12"/>
  <c r="D28" i="12"/>
  <c r="D26" i="12"/>
  <c r="D27" i="12"/>
  <c r="I26" i="12"/>
  <c r="I28" i="12"/>
  <c r="I27" i="12"/>
  <c r="H28" i="11"/>
  <c r="H27" i="11"/>
  <c r="G28" i="11"/>
  <c r="G27" i="11"/>
  <c r="G26" i="11"/>
  <c r="D28" i="11"/>
  <c r="D27" i="11"/>
  <c r="D26" i="11"/>
  <c r="F26" i="11"/>
  <c r="F28" i="11"/>
  <c r="F27" i="11"/>
  <c r="E26" i="11"/>
  <c r="E28" i="11"/>
  <c r="E27" i="11"/>
  <c r="D24" i="3"/>
  <c r="D29" i="3" s="1"/>
  <c r="I24" i="3"/>
  <c r="I29" i="3" s="1"/>
  <c r="J24" i="3"/>
  <c r="J29" i="3" s="1"/>
  <c r="H24" i="3"/>
  <c r="H29" i="3" s="1"/>
  <c r="E24" i="3"/>
  <c r="E29" i="3" s="1"/>
  <c r="G24" i="3"/>
  <c r="G29" i="3" s="1"/>
  <c r="F24" i="3"/>
  <c r="F29" i="3" s="1"/>
  <c r="D26" i="3" l="1"/>
  <c r="K29" i="3"/>
  <c r="K26" i="12"/>
  <c r="K28" i="12"/>
  <c r="K27" i="12"/>
  <c r="K28" i="11"/>
  <c r="K26" i="11"/>
  <c r="D31" i="11" s="1"/>
  <c r="K27" i="11"/>
  <c r="J32" i="11" s="1"/>
  <c r="D27" i="3"/>
  <c r="D28" i="3"/>
  <c r="H27" i="3"/>
  <c r="H26" i="3"/>
  <c r="H28" i="3"/>
  <c r="J26" i="3"/>
  <c r="J28" i="3"/>
  <c r="J27" i="3"/>
  <c r="F28" i="3"/>
  <c r="F27" i="3"/>
  <c r="F26" i="3"/>
  <c r="G27" i="3"/>
  <c r="G28" i="3"/>
  <c r="G26" i="3"/>
  <c r="E28" i="3"/>
  <c r="E27" i="3"/>
  <c r="E26" i="3"/>
  <c r="I26" i="3"/>
  <c r="I27" i="3"/>
  <c r="I28" i="3"/>
  <c r="J32" i="12" l="1"/>
  <c r="J31" i="12"/>
  <c r="E42" i="11"/>
  <c r="H42" i="11" s="1"/>
  <c r="E37" i="11"/>
  <c r="H37" i="11" s="1"/>
  <c r="J31" i="11"/>
  <c r="D31" i="12"/>
  <c r="F50" i="12"/>
  <c r="G31" i="12"/>
  <c r="D33" i="12"/>
  <c r="G32" i="12"/>
  <c r="D32" i="12"/>
  <c r="F38" i="12" s="1"/>
  <c r="H38" i="12" s="1"/>
  <c r="K38" i="12" s="1"/>
  <c r="J56" i="12"/>
  <c r="J50" i="12"/>
  <c r="F56" i="12"/>
  <c r="J55" i="12"/>
  <c r="J49" i="12"/>
  <c r="D32" i="11"/>
  <c r="G31" i="11"/>
  <c r="J56" i="11"/>
  <c r="I56" i="11"/>
  <c r="J50" i="11"/>
  <c r="I50" i="11"/>
  <c r="J55" i="11"/>
  <c r="I55" i="11"/>
  <c r="J49" i="11"/>
  <c r="I49" i="11"/>
  <c r="K26" i="3"/>
  <c r="K28" i="3"/>
  <c r="K27" i="3"/>
  <c r="J31" i="3" l="1"/>
  <c r="J32" i="3"/>
  <c r="G44" i="12"/>
  <c r="H44" i="12" s="1"/>
  <c r="K44" i="12" s="1"/>
  <c r="I42" i="12"/>
  <c r="I43" i="12"/>
  <c r="K43" i="12" s="1"/>
  <c r="E42" i="12"/>
  <c r="H42" i="12" s="1"/>
  <c r="E37" i="12"/>
  <c r="H37" i="12" s="1"/>
  <c r="K31" i="12"/>
  <c r="L31" i="12" s="1"/>
  <c r="J37" i="12"/>
  <c r="J39" i="12"/>
  <c r="K39" i="12" s="1"/>
  <c r="I42" i="11"/>
  <c r="K42" i="11" s="1"/>
  <c r="M42" i="11" s="1"/>
  <c r="G55" i="11" s="1"/>
  <c r="I43" i="11"/>
  <c r="K43" i="11" s="1"/>
  <c r="F38" i="11"/>
  <c r="H38" i="11" s="1"/>
  <c r="K38" i="11" s="1"/>
  <c r="D33" i="3"/>
  <c r="G44" i="3" s="1"/>
  <c r="H44" i="3" s="1"/>
  <c r="K44" i="3" s="1"/>
  <c r="D32" i="3"/>
  <c r="F38" i="3" s="1"/>
  <c r="H38" i="3" s="1"/>
  <c r="K38" i="3" s="1"/>
  <c r="D31" i="3"/>
  <c r="G32" i="3"/>
  <c r="G31" i="3"/>
  <c r="J51" i="12" l="1"/>
  <c r="J52" i="12" s="1"/>
  <c r="J57" i="12"/>
  <c r="J58" i="12" s="1"/>
  <c r="J61" i="12" s="1"/>
  <c r="I42" i="3"/>
  <c r="I43" i="3"/>
  <c r="K43" i="3" s="1"/>
  <c r="J37" i="3"/>
  <c r="J39" i="3"/>
  <c r="K39" i="3" s="1"/>
  <c r="E42" i="3"/>
  <c r="H42" i="3" s="1"/>
  <c r="E37" i="3"/>
  <c r="H37" i="3" s="1"/>
  <c r="K31" i="3"/>
  <c r="K37" i="12"/>
  <c r="M37" i="12" s="1"/>
  <c r="F49" i="12" s="1"/>
  <c r="K42" i="12"/>
  <c r="M42" i="12" s="1"/>
  <c r="L43" i="12"/>
  <c r="M43" i="12" s="1"/>
  <c r="H56" i="12" s="1"/>
  <c r="L38" i="12"/>
  <c r="M38" i="12" s="1"/>
  <c r="H50" i="12" s="1"/>
  <c r="L44" i="12"/>
  <c r="M44" i="12" s="1"/>
  <c r="G57" i="12" s="1"/>
  <c r="L39" i="12"/>
  <c r="M39" i="12" s="1"/>
  <c r="G51" i="12" s="1"/>
  <c r="D49" i="12"/>
  <c r="G50" i="12"/>
  <c r="F55" i="11"/>
  <c r="E55" i="11"/>
  <c r="H55" i="11"/>
  <c r="D55" i="11"/>
  <c r="D55" i="12" l="1"/>
  <c r="F55" i="12"/>
  <c r="I51" i="12"/>
  <c r="D50" i="12"/>
  <c r="H51" i="12"/>
  <c r="I57" i="12"/>
  <c r="H49" i="12"/>
  <c r="G49" i="12"/>
  <c r="G52" i="12" s="1"/>
  <c r="F57" i="12"/>
  <c r="E55" i="12"/>
  <c r="G55" i="12"/>
  <c r="F51" i="12"/>
  <c r="F52" i="12" s="1"/>
  <c r="I49" i="12"/>
  <c r="E57" i="12"/>
  <c r="E51" i="12"/>
  <c r="H55" i="12"/>
  <c r="E49" i="12"/>
  <c r="H57" i="12"/>
  <c r="D51" i="12"/>
  <c r="D57" i="12"/>
  <c r="K42" i="3"/>
  <c r="M42" i="3" s="1"/>
  <c r="I55" i="3" s="1"/>
  <c r="L31" i="3"/>
  <c r="L44" i="3"/>
  <c r="M44" i="3" s="1"/>
  <c r="L39" i="3"/>
  <c r="M39" i="3" s="1"/>
  <c r="L38" i="3"/>
  <c r="M38" i="3" s="1"/>
  <c r="H50" i="3" s="1"/>
  <c r="L43" i="3"/>
  <c r="M43" i="3" s="1"/>
  <c r="H56" i="3" s="1"/>
  <c r="K37" i="3"/>
  <c r="M37" i="3" s="1"/>
  <c r="I49" i="3" s="1"/>
  <c r="I55" i="12"/>
  <c r="I50" i="12"/>
  <c r="E50" i="12"/>
  <c r="D56" i="12"/>
  <c r="E56" i="12"/>
  <c r="G56" i="12"/>
  <c r="I56" i="12"/>
  <c r="K130" i="12"/>
  <c r="C132" i="12" s="1"/>
  <c r="D132" i="12" s="1"/>
  <c r="H55" i="3"/>
  <c r="H49" i="3"/>
  <c r="F50" i="3"/>
  <c r="F55" i="3"/>
  <c r="F49" i="3"/>
  <c r="D55" i="3" l="1"/>
  <c r="E56" i="3"/>
  <c r="F58" i="12"/>
  <c r="F59" i="12" s="1"/>
  <c r="F61" i="12" s="1"/>
  <c r="F62" i="12" s="1"/>
  <c r="D52" i="12"/>
  <c r="H52" i="12"/>
  <c r="D58" i="12"/>
  <c r="D59" i="12" s="1"/>
  <c r="D61" i="12" s="1"/>
  <c r="D62" i="12" s="1"/>
  <c r="G56" i="3"/>
  <c r="J55" i="3"/>
  <c r="G58" i="12"/>
  <c r="G59" i="12" s="1"/>
  <c r="G61" i="12" s="1"/>
  <c r="G62" i="12" s="1"/>
  <c r="I52" i="12"/>
  <c r="G55" i="3"/>
  <c r="E50" i="3"/>
  <c r="I50" i="3"/>
  <c r="E58" i="12"/>
  <c r="E59" i="12" s="1"/>
  <c r="E61" i="12" s="1"/>
  <c r="E62" i="12" s="1"/>
  <c r="H58" i="12"/>
  <c r="H59" i="12" s="1"/>
  <c r="H61" i="12" s="1"/>
  <c r="H62" i="12" s="1"/>
  <c r="E52" i="12"/>
  <c r="J49" i="3"/>
  <c r="I56" i="3"/>
  <c r="F56" i="3"/>
  <c r="G49" i="3"/>
  <c r="E55" i="3"/>
  <c r="E49" i="3"/>
  <c r="D56" i="3"/>
  <c r="D50" i="3"/>
  <c r="J56" i="3"/>
  <c r="D49" i="3"/>
  <c r="G50" i="3"/>
  <c r="J50" i="3"/>
  <c r="H57" i="3"/>
  <c r="H58" i="3" s="1"/>
  <c r="H59" i="3" s="1"/>
  <c r="D57" i="3"/>
  <c r="G51" i="3"/>
  <c r="G57" i="3"/>
  <c r="F51" i="3"/>
  <c r="F52" i="3" s="1"/>
  <c r="J57" i="3"/>
  <c r="E51" i="3"/>
  <c r="I57" i="3"/>
  <c r="E57" i="3"/>
  <c r="H51" i="3"/>
  <c r="H52" i="3" s="1"/>
  <c r="D51" i="3"/>
  <c r="J51" i="3"/>
  <c r="F57" i="3"/>
  <c r="I51" i="3"/>
  <c r="I58" i="12"/>
  <c r="I59" i="12" s="1"/>
  <c r="I61" i="12" s="1"/>
  <c r="I62" i="12" s="1"/>
  <c r="C133" i="12"/>
  <c r="D133" i="12" s="1"/>
  <c r="I155" i="12"/>
  <c r="C134" i="12"/>
  <c r="D134" i="12" s="1"/>
  <c r="J155" i="12"/>
  <c r="J156" i="12"/>
  <c r="C135" i="12"/>
  <c r="D135" i="12" s="1"/>
  <c r="D156" i="12"/>
  <c r="D155" i="12"/>
  <c r="I156" i="12"/>
  <c r="E58" i="3" l="1"/>
  <c r="E59" i="3" s="1"/>
  <c r="E61" i="3" s="1"/>
  <c r="G58" i="3"/>
  <c r="G59" i="3" s="1"/>
  <c r="G63" i="3" s="1"/>
  <c r="I58" i="3"/>
  <c r="I59" i="3" s="1"/>
  <c r="I61" i="3" s="1"/>
  <c r="I52" i="3"/>
  <c r="F58" i="3"/>
  <c r="F59" i="3" s="1"/>
  <c r="F61" i="3" s="1"/>
  <c r="G52" i="3"/>
  <c r="L59" i="12"/>
  <c r="K69" i="12" s="1"/>
  <c r="C72" i="12" s="1"/>
  <c r="D72" i="12" s="1"/>
  <c r="H61" i="3"/>
  <c r="H63" i="3"/>
  <c r="K62" i="12"/>
  <c r="E52" i="3"/>
  <c r="D58" i="3"/>
  <c r="D59" i="3" s="1"/>
  <c r="J52" i="3"/>
  <c r="D52" i="3"/>
  <c r="J58" i="3"/>
  <c r="J59" i="3" s="1"/>
  <c r="D138" i="12"/>
  <c r="E63" i="3" l="1"/>
  <c r="G61" i="3"/>
  <c r="I63" i="3"/>
  <c r="F63" i="3"/>
  <c r="L60" i="12"/>
  <c r="K97" i="12" s="1"/>
  <c r="C102" i="12" s="1"/>
  <c r="D102" i="12" s="1"/>
  <c r="C71" i="12"/>
  <c r="D71" i="12" s="1"/>
  <c r="C73" i="12"/>
  <c r="D73" i="12" s="1"/>
  <c r="C74" i="12"/>
  <c r="D74" i="12" s="1"/>
  <c r="C136" i="12"/>
  <c r="D136" i="12" s="1"/>
  <c r="E136" i="12" s="1"/>
  <c r="D61" i="3"/>
  <c r="D63" i="3"/>
  <c r="J61" i="3"/>
  <c r="J63" i="3"/>
  <c r="E134" i="12"/>
  <c r="H149" i="12" s="1"/>
  <c r="E135" i="12"/>
  <c r="I150" i="12" s="1"/>
  <c r="E133" i="12"/>
  <c r="J141" i="12" s="1"/>
  <c r="E132" i="12"/>
  <c r="J147" i="12" s="1"/>
  <c r="C101" i="12" l="1"/>
  <c r="D101" i="12" s="1"/>
  <c r="C103" i="12"/>
  <c r="D103" i="12" s="1"/>
  <c r="C137" i="12"/>
  <c r="D137" i="12" s="1"/>
  <c r="E137" i="12" s="1"/>
  <c r="C100" i="12"/>
  <c r="D100" i="12" s="1"/>
  <c r="C99" i="12"/>
  <c r="D99" i="12" s="1"/>
  <c r="D75" i="12"/>
  <c r="E73" i="12" s="1"/>
  <c r="G84" i="12" s="1"/>
  <c r="H64" i="3"/>
  <c r="H65" i="3" s="1"/>
  <c r="J64" i="3"/>
  <c r="J65" i="3" s="1"/>
  <c r="G64" i="3"/>
  <c r="G65" i="3" s="1"/>
  <c r="E64" i="3"/>
  <c r="E65" i="3" s="1"/>
  <c r="D64" i="3"/>
  <c r="D65" i="3" s="1"/>
  <c r="F64" i="3"/>
  <c r="F65" i="3" s="1"/>
  <c r="I64" i="3"/>
  <c r="I65" i="3" s="1"/>
  <c r="D142" i="12"/>
  <c r="F147" i="12"/>
  <c r="D150" i="12"/>
  <c r="H142" i="12"/>
  <c r="E149" i="12"/>
  <c r="E150" i="12"/>
  <c r="E142" i="12"/>
  <c r="J142" i="12"/>
  <c r="F143" i="12"/>
  <c r="G140" i="12"/>
  <c r="G147" i="12"/>
  <c r="J140" i="12"/>
  <c r="E147" i="12"/>
  <c r="G142" i="12"/>
  <c r="D149" i="12"/>
  <c r="J149" i="12"/>
  <c r="F149" i="12"/>
  <c r="F148" i="12"/>
  <c r="J143" i="12"/>
  <c r="G149" i="12"/>
  <c r="J150" i="12"/>
  <c r="G141" i="12"/>
  <c r="H140" i="12"/>
  <c r="I149" i="12"/>
  <c r="F142" i="12"/>
  <c r="I142" i="12"/>
  <c r="J148" i="12"/>
  <c r="H148" i="12"/>
  <c r="D143" i="12"/>
  <c r="H141" i="12"/>
  <c r="E141" i="12"/>
  <c r="I140" i="12"/>
  <c r="E140" i="12"/>
  <c r="H150" i="12"/>
  <c r="H143" i="12"/>
  <c r="G143" i="12"/>
  <c r="I148" i="12"/>
  <c r="I143" i="12"/>
  <c r="F150" i="12"/>
  <c r="F141" i="12"/>
  <c r="E148" i="12"/>
  <c r="I141" i="12"/>
  <c r="D141" i="12"/>
  <c r="E143" i="12"/>
  <c r="D148" i="12"/>
  <c r="G148" i="12"/>
  <c r="G150" i="12"/>
  <c r="I147" i="12"/>
  <c r="F140" i="12"/>
  <c r="D140" i="12"/>
  <c r="H147" i="12"/>
  <c r="D147" i="12"/>
  <c r="J88" i="12"/>
  <c r="J151" i="12" s="1"/>
  <c r="J87" i="12"/>
  <c r="J144" i="12" s="1"/>
  <c r="F84" i="12" l="1"/>
  <c r="D104" i="12"/>
  <c r="E103" i="12" s="1"/>
  <c r="E72" i="12"/>
  <c r="J78" i="12" s="1"/>
  <c r="F79" i="12"/>
  <c r="H84" i="12"/>
  <c r="E84" i="12"/>
  <c r="E79" i="12"/>
  <c r="D79" i="12"/>
  <c r="H79" i="12"/>
  <c r="G79" i="12"/>
  <c r="J84" i="12"/>
  <c r="J79" i="12"/>
  <c r="D84" i="12"/>
  <c r="E71" i="12"/>
  <c r="E82" i="12" s="1"/>
  <c r="I79" i="12"/>
  <c r="E74" i="12"/>
  <c r="G85" i="12" s="1"/>
  <c r="I84" i="12"/>
  <c r="L65" i="3"/>
  <c r="K70" i="3" s="1"/>
  <c r="E101" i="12"/>
  <c r="E114" i="12" s="1"/>
  <c r="I87" i="12"/>
  <c r="J91" i="12"/>
  <c r="J92" i="12"/>
  <c r="J110" i="12" l="1"/>
  <c r="E100" i="12"/>
  <c r="H113" i="12" s="1"/>
  <c r="J108" i="12"/>
  <c r="F83" i="12"/>
  <c r="J83" i="12"/>
  <c r="E99" i="12"/>
  <c r="H112" i="12" s="1"/>
  <c r="J116" i="12"/>
  <c r="E102" i="12"/>
  <c r="D109" i="12" s="1"/>
  <c r="H83" i="12"/>
  <c r="I83" i="12"/>
  <c r="H78" i="12"/>
  <c r="H114" i="12"/>
  <c r="I108" i="12"/>
  <c r="G83" i="12"/>
  <c r="D78" i="12"/>
  <c r="E83" i="12"/>
  <c r="I78" i="12"/>
  <c r="G114" i="12"/>
  <c r="E108" i="12"/>
  <c r="F108" i="12"/>
  <c r="D108" i="12"/>
  <c r="H85" i="12"/>
  <c r="F78" i="12"/>
  <c r="E78" i="12"/>
  <c r="D83" i="12"/>
  <c r="G78" i="12"/>
  <c r="J85" i="12"/>
  <c r="D80" i="12"/>
  <c r="I80" i="12"/>
  <c r="E80" i="12"/>
  <c r="J80" i="12"/>
  <c r="I85" i="12"/>
  <c r="H80" i="12"/>
  <c r="F85" i="12"/>
  <c r="J82" i="12"/>
  <c r="D82" i="12"/>
  <c r="G77" i="12"/>
  <c r="F77" i="12"/>
  <c r="I82" i="12"/>
  <c r="H77" i="12"/>
  <c r="F82" i="12"/>
  <c r="D77" i="12"/>
  <c r="G82" i="12"/>
  <c r="E77" i="12"/>
  <c r="J77" i="12"/>
  <c r="I77" i="12"/>
  <c r="H82" i="12"/>
  <c r="E85" i="12"/>
  <c r="D85" i="12"/>
  <c r="G80" i="12"/>
  <c r="F80" i="12"/>
  <c r="J114" i="12"/>
  <c r="D114" i="12"/>
  <c r="G108" i="12"/>
  <c r="I114" i="12"/>
  <c r="C75" i="3"/>
  <c r="D75" i="3" s="1"/>
  <c r="C72" i="3"/>
  <c r="D72" i="3" s="1"/>
  <c r="C73" i="3"/>
  <c r="D73" i="3" s="1"/>
  <c r="C74" i="3"/>
  <c r="D74" i="3" s="1"/>
  <c r="F114" i="12"/>
  <c r="H108" i="12"/>
  <c r="D88" i="12"/>
  <c r="I88" i="12"/>
  <c r="I91" i="12"/>
  <c r="I110" i="12"/>
  <c r="I144" i="12"/>
  <c r="G155" i="12"/>
  <c r="K152" i="12"/>
  <c r="K156" i="12" s="1"/>
  <c r="I106" i="12" l="1"/>
  <c r="E115" i="12"/>
  <c r="D115" i="12"/>
  <c r="I109" i="12"/>
  <c r="G113" i="12"/>
  <c r="F109" i="12"/>
  <c r="I115" i="12"/>
  <c r="F115" i="12"/>
  <c r="J115" i="12"/>
  <c r="F113" i="12"/>
  <c r="H107" i="12"/>
  <c r="I107" i="12"/>
  <c r="F107" i="12"/>
  <c r="G107" i="12"/>
  <c r="D113" i="12"/>
  <c r="J107" i="12"/>
  <c r="I113" i="12"/>
  <c r="E107" i="12"/>
  <c r="E113" i="12"/>
  <c r="J113" i="12"/>
  <c r="D107" i="12"/>
  <c r="F112" i="12"/>
  <c r="G106" i="12"/>
  <c r="E109" i="12"/>
  <c r="I112" i="12"/>
  <c r="D112" i="12"/>
  <c r="E106" i="12"/>
  <c r="G112" i="12"/>
  <c r="J109" i="12"/>
  <c r="G115" i="12"/>
  <c r="E112" i="12"/>
  <c r="D106" i="12"/>
  <c r="J106" i="12"/>
  <c r="H115" i="12"/>
  <c r="H106" i="12"/>
  <c r="H109" i="12"/>
  <c r="G109" i="12"/>
  <c r="F106" i="12"/>
  <c r="J112" i="12"/>
  <c r="K85" i="12"/>
  <c r="E88" i="12" s="1"/>
  <c r="E151" i="12" s="1"/>
  <c r="K80" i="12"/>
  <c r="D76" i="3"/>
  <c r="E72" i="3" s="1"/>
  <c r="D92" i="12"/>
  <c r="D116" i="12"/>
  <c r="D151" i="12"/>
  <c r="I151" i="12"/>
  <c r="I92" i="12"/>
  <c r="I116" i="12"/>
  <c r="F156" i="12"/>
  <c r="E156" i="12"/>
  <c r="K145" i="12"/>
  <c r="G156" i="12"/>
  <c r="H156" i="12"/>
  <c r="E116" i="12" l="1"/>
  <c r="E92" i="12"/>
  <c r="G87" i="12"/>
  <c r="G91" i="12" s="1"/>
  <c r="E87" i="12"/>
  <c r="G88" i="12"/>
  <c r="G151" i="12" s="1"/>
  <c r="H88" i="12"/>
  <c r="D87" i="12"/>
  <c r="D144" i="12" s="1"/>
  <c r="H87" i="12"/>
  <c r="F88" i="12"/>
  <c r="F92" i="12" s="1"/>
  <c r="F87" i="12"/>
  <c r="E75" i="3"/>
  <c r="G86" i="3" s="1"/>
  <c r="E73" i="3"/>
  <c r="J84" i="3" s="1"/>
  <c r="H83" i="3"/>
  <c r="I83" i="3"/>
  <c r="F83" i="3"/>
  <c r="D78" i="3"/>
  <c r="I78" i="3"/>
  <c r="G83" i="3"/>
  <c r="G78" i="3"/>
  <c r="D83" i="3"/>
  <c r="E78" i="3"/>
  <c r="J78" i="3"/>
  <c r="H78" i="3"/>
  <c r="E83" i="3"/>
  <c r="F78" i="3"/>
  <c r="J83" i="3"/>
  <c r="E74" i="3"/>
  <c r="H118" i="12"/>
  <c r="J118" i="12"/>
  <c r="I118" i="12"/>
  <c r="E155" i="12"/>
  <c r="K155" i="12"/>
  <c r="H155" i="12"/>
  <c r="F155" i="12"/>
  <c r="G144" i="12" l="1"/>
  <c r="G110" i="12"/>
  <c r="E110" i="12"/>
  <c r="E91" i="12"/>
  <c r="E144" i="12"/>
  <c r="G116" i="12"/>
  <c r="G92" i="12"/>
  <c r="D110" i="12"/>
  <c r="H91" i="12"/>
  <c r="H159" i="12" s="1"/>
  <c r="E167" i="12" s="1"/>
  <c r="H144" i="12"/>
  <c r="H110" i="12"/>
  <c r="D91" i="12"/>
  <c r="H92" i="12"/>
  <c r="H151" i="12"/>
  <c r="H116" i="12"/>
  <c r="F151" i="12"/>
  <c r="F116" i="12"/>
  <c r="F110" i="12"/>
  <c r="F144" i="12"/>
  <c r="F91" i="12"/>
  <c r="E84" i="3"/>
  <c r="E86" i="3"/>
  <c r="G81" i="3"/>
  <c r="H81" i="3"/>
  <c r="I86" i="3"/>
  <c r="H86" i="3"/>
  <c r="I84" i="3"/>
  <c r="H79" i="3"/>
  <c r="I81" i="3"/>
  <c r="E81" i="3"/>
  <c r="D84" i="3"/>
  <c r="D86" i="3"/>
  <c r="D81" i="3"/>
  <c r="F86" i="3"/>
  <c r="G79" i="3"/>
  <c r="G84" i="3"/>
  <c r="J86" i="3"/>
  <c r="F81" i="3"/>
  <c r="J81" i="3"/>
  <c r="E79" i="3"/>
  <c r="J79" i="3"/>
  <c r="F84" i="3"/>
  <c r="I79" i="3"/>
  <c r="H84" i="3"/>
  <c r="D79" i="3"/>
  <c r="F79" i="3"/>
  <c r="G85" i="3"/>
  <c r="J80" i="3"/>
  <c r="F85" i="3"/>
  <c r="I85" i="3"/>
  <c r="E85" i="3"/>
  <c r="E80" i="3"/>
  <c r="H85" i="3"/>
  <c r="J85" i="3"/>
  <c r="H80" i="3"/>
  <c r="G80" i="3"/>
  <c r="F80" i="3"/>
  <c r="D80" i="3"/>
  <c r="D85" i="3"/>
  <c r="I80" i="3"/>
  <c r="J119" i="12"/>
  <c r="J160" i="12" s="1"/>
  <c r="F169" i="12" s="1"/>
  <c r="V25" i="12" s="1"/>
  <c r="H152" i="12"/>
  <c r="H145" i="12"/>
  <c r="J152" i="12"/>
  <c r="J145" i="12"/>
  <c r="J159" i="12"/>
  <c r="E169" i="12" s="1"/>
  <c r="U25" i="12" s="1"/>
  <c r="X25" i="12" s="1"/>
  <c r="I119" i="12"/>
  <c r="I123" i="12" s="1"/>
  <c r="N127" i="12" s="1"/>
  <c r="R24" i="12" s="1"/>
  <c r="V24" i="12" s="1"/>
  <c r="H119" i="12"/>
  <c r="I145" i="12"/>
  <c r="I152" i="12"/>
  <c r="I159" i="12"/>
  <c r="E168" i="12" s="1"/>
  <c r="I122" i="12"/>
  <c r="M127" i="12" s="1"/>
  <c r="Q24" i="12" s="1"/>
  <c r="U24" i="12" s="1"/>
  <c r="X24" i="12" s="1"/>
  <c r="K116" i="12" l="1"/>
  <c r="K110" i="12"/>
  <c r="H122" i="12"/>
  <c r="M126" i="12" s="1"/>
  <c r="Q23" i="12" s="1"/>
  <c r="U23" i="12" s="1"/>
  <c r="X23" i="12" s="1"/>
  <c r="E119" i="12"/>
  <c r="E160" i="12" s="1"/>
  <c r="F164" i="12" s="1"/>
  <c r="G118" i="12"/>
  <c r="G152" i="12" s="1"/>
  <c r="E118" i="12"/>
  <c r="K81" i="3"/>
  <c r="G88" i="3" s="1"/>
  <c r="G92" i="3" s="1"/>
  <c r="K86" i="3"/>
  <c r="H89" i="3" s="1"/>
  <c r="H93" i="3" s="1"/>
  <c r="I160" i="12"/>
  <c r="F168" i="12" s="1"/>
  <c r="H123" i="12"/>
  <c r="N126" i="12" s="1"/>
  <c r="R23" i="12" s="1"/>
  <c r="H160" i="12"/>
  <c r="F167" i="12" s="1"/>
  <c r="I89" i="3"/>
  <c r="D118" i="12" l="1"/>
  <c r="D122" i="12" s="1"/>
  <c r="M122" i="12" s="1"/>
  <c r="Q19" i="12" s="1"/>
  <c r="U19" i="12" s="1"/>
  <c r="X19" i="12" s="1"/>
  <c r="F118" i="12"/>
  <c r="G119" i="12"/>
  <c r="G123" i="12" s="1"/>
  <c r="N125" i="12" s="1"/>
  <c r="R22" i="12" s="1"/>
  <c r="F119" i="12"/>
  <c r="D119" i="12"/>
  <c r="D160" i="12" s="1"/>
  <c r="F163" i="12" s="1"/>
  <c r="G89" i="3"/>
  <c r="E88" i="3"/>
  <c r="E92" i="3" s="1"/>
  <c r="H88" i="3"/>
  <c r="H92" i="3" s="1"/>
  <c r="E123" i="12"/>
  <c r="N123" i="12" s="1"/>
  <c r="R20" i="12" s="1"/>
  <c r="V20" i="12" s="1"/>
  <c r="G122" i="12"/>
  <c r="M125" i="12" s="1"/>
  <c r="Q22" i="12" s="1"/>
  <c r="U22" i="12" s="1"/>
  <c r="X22" i="12" s="1"/>
  <c r="G145" i="12"/>
  <c r="G159" i="12"/>
  <c r="E166" i="12" s="1"/>
  <c r="E152" i="12"/>
  <c r="E122" i="12"/>
  <c r="M123" i="12" s="1"/>
  <c r="Q20" i="12" s="1"/>
  <c r="U20" i="12" s="1"/>
  <c r="X20" i="12" s="1"/>
  <c r="E145" i="12"/>
  <c r="E159" i="12"/>
  <c r="E164" i="12" s="1"/>
  <c r="D152" i="12"/>
  <c r="J89" i="3"/>
  <c r="J93" i="3" s="1"/>
  <c r="E89" i="3"/>
  <c r="E93" i="3" s="1"/>
  <c r="D89" i="3"/>
  <c r="D93" i="3" s="1"/>
  <c r="F88" i="3"/>
  <c r="F92" i="3" s="1"/>
  <c r="D88" i="3"/>
  <c r="D92" i="3" s="1"/>
  <c r="F89" i="3"/>
  <c r="F93" i="3" s="1"/>
  <c r="J88" i="3"/>
  <c r="J92" i="3" s="1"/>
  <c r="I88" i="3"/>
  <c r="I92" i="3" s="1"/>
  <c r="V23" i="12"/>
  <c r="G93" i="3"/>
  <c r="I93" i="3"/>
  <c r="D145" i="12" l="1"/>
  <c r="D159" i="12"/>
  <c r="E163" i="12" s="1"/>
  <c r="F152" i="12"/>
  <c r="F145" i="12"/>
  <c r="F122" i="12"/>
  <c r="M124" i="12" s="1"/>
  <c r="Q21" i="12" s="1"/>
  <c r="U21" i="12" s="1"/>
  <c r="X21" i="12" s="1"/>
  <c r="F159" i="12"/>
  <c r="E165" i="12" s="1"/>
  <c r="F160" i="12"/>
  <c r="F165" i="12" s="1"/>
  <c r="F123" i="12"/>
  <c r="N124" i="12" s="1"/>
  <c r="R21" i="12" s="1"/>
  <c r="V21" i="12" s="1"/>
  <c r="G160" i="12"/>
  <c r="F166" i="12" s="1"/>
  <c r="V22" i="12" s="1"/>
  <c r="D123" i="12"/>
  <c r="N122" i="12" s="1"/>
  <c r="R19" i="12" s="1"/>
  <c r="V19" i="12" s="1"/>
  <c r="K31" i="11"/>
  <c r="L44" i="11" l="1"/>
  <c r="L43" i="11"/>
  <c r="M43" i="11" s="1"/>
  <c r="D56" i="11" s="1"/>
  <c r="L39" i="11"/>
  <c r="L38" i="11"/>
  <c r="M38" i="11" s="1"/>
  <c r="D50" i="11" s="1"/>
  <c r="L31" i="11"/>
  <c r="D33" i="11" s="1"/>
  <c r="J57" i="11" l="1"/>
  <c r="J58" i="11" s="1"/>
  <c r="G56" i="11"/>
  <c r="F56" i="11"/>
  <c r="G50" i="11"/>
  <c r="F50" i="11"/>
  <c r="H56" i="11"/>
  <c r="E56" i="11"/>
  <c r="H50" i="11"/>
  <c r="E50" i="11"/>
  <c r="I51" i="11"/>
  <c r="I52" i="11" s="1"/>
  <c r="I57" i="11"/>
  <c r="I58" i="11" s="1"/>
  <c r="G44" i="11"/>
  <c r="H44" i="11" s="1"/>
  <c r="K44" i="11" s="1"/>
  <c r="M44" i="11" s="1"/>
  <c r="D57" i="11" s="1"/>
  <c r="D58" i="11" s="1"/>
  <c r="D59" i="11" s="1"/>
  <c r="G32" i="11"/>
  <c r="J51" i="11"/>
  <c r="J52" i="11" s="1"/>
  <c r="H57" i="11" l="1"/>
  <c r="H58" i="11" s="1"/>
  <c r="H59" i="11" s="1"/>
  <c r="H61" i="11" s="1"/>
  <c r="G57" i="11"/>
  <c r="G58" i="11" s="1"/>
  <c r="G59" i="11" s="1"/>
  <c r="G61" i="11" s="1"/>
  <c r="E57" i="11"/>
  <c r="E58" i="11" s="1"/>
  <c r="E59" i="11" s="1"/>
  <c r="E61" i="11" s="1"/>
  <c r="F57" i="11"/>
  <c r="F58" i="11" s="1"/>
  <c r="F59" i="11" s="1"/>
  <c r="F61" i="11" s="1"/>
  <c r="J39" i="11"/>
  <c r="K39" i="11" s="1"/>
  <c r="M39" i="11" s="1"/>
  <c r="H51" i="11" s="1"/>
  <c r="J37" i="11"/>
  <c r="K37" i="11" s="1"/>
  <c r="M37" i="11" s="1"/>
  <c r="E49" i="11" s="1"/>
  <c r="D61" i="11"/>
  <c r="H49" i="11" l="1"/>
  <c r="H52" i="11" s="1"/>
  <c r="F49" i="11"/>
  <c r="E51" i="11"/>
  <c r="E52" i="11" s="1"/>
  <c r="G51" i="11"/>
  <c r="L59" i="11"/>
  <c r="K69" i="11" s="1"/>
  <c r="C72" i="11" s="1"/>
  <c r="D72" i="11" s="1"/>
  <c r="D51" i="11"/>
  <c r="F51" i="11"/>
  <c r="G49" i="11"/>
  <c r="G52" i="11" s="1"/>
  <c r="D49" i="11"/>
  <c r="L61" i="11"/>
  <c r="L60" i="11"/>
  <c r="F52" i="11" l="1"/>
  <c r="C71" i="11"/>
  <c r="D71" i="11" s="1"/>
  <c r="J87" i="11"/>
  <c r="J91" i="11" s="1"/>
  <c r="I88" i="11"/>
  <c r="I92" i="11" s="1"/>
  <c r="C73" i="11"/>
  <c r="D73" i="11" s="1"/>
  <c r="C74" i="11"/>
  <c r="D74" i="11" s="1"/>
  <c r="I87" i="11"/>
  <c r="I91" i="11" s="1"/>
  <c r="J88" i="11"/>
  <c r="J92" i="11" s="1"/>
  <c r="D52" i="11"/>
  <c r="D75" i="11" l="1"/>
  <c r="E71" i="11" s="1"/>
  <c r="G82" i="11" s="1"/>
  <c r="E72" i="11" l="1"/>
  <c r="G78" i="11" s="1"/>
  <c r="H77" i="11"/>
  <c r="F77" i="11"/>
  <c r="E73" i="11"/>
  <c r="E79" i="11" s="1"/>
  <c r="E82" i="11"/>
  <c r="I77" i="11"/>
  <c r="J77" i="11"/>
  <c r="H82" i="11"/>
  <c r="I82" i="11"/>
  <c r="J82" i="11"/>
  <c r="F82" i="11"/>
  <c r="G77" i="11"/>
  <c r="D82" i="11"/>
  <c r="E74" i="11"/>
  <c r="J80" i="11" s="1"/>
  <c r="D77" i="11"/>
  <c r="E77" i="11"/>
  <c r="J83" i="11" l="1"/>
  <c r="I83" i="11"/>
  <c r="I78" i="11"/>
  <c r="E78" i="11"/>
  <c r="D78" i="11"/>
  <c r="E83" i="11"/>
  <c r="H83" i="11"/>
  <c r="F78" i="11"/>
  <c r="F83" i="11"/>
  <c r="J78" i="11"/>
  <c r="J85" i="11"/>
  <c r="D83" i="11"/>
  <c r="G83" i="11"/>
  <c r="H78" i="11"/>
  <c r="E85" i="11"/>
  <c r="J79" i="11"/>
  <c r="D84" i="11"/>
  <c r="H80" i="11"/>
  <c r="G79" i="11"/>
  <c r="I79" i="11"/>
  <c r="F84" i="11"/>
  <c r="H79" i="11"/>
  <c r="I80" i="11"/>
  <c r="D79" i="11"/>
  <c r="G84" i="11"/>
  <c r="H84" i="11"/>
  <c r="F79" i="11"/>
  <c r="F85" i="11"/>
  <c r="I84" i="11"/>
  <c r="E84" i="11"/>
  <c r="J84" i="11"/>
  <c r="H85" i="11"/>
  <c r="I85" i="11"/>
  <c r="E80" i="11"/>
  <c r="D80" i="11"/>
  <c r="D85" i="11"/>
  <c r="G80" i="11"/>
  <c r="F80" i="11"/>
  <c r="G85" i="11"/>
  <c r="K80" i="11" l="1"/>
  <c r="H87" i="11" s="1"/>
  <c r="H91" i="11" s="1"/>
  <c r="N95" i="11" s="1"/>
  <c r="Q23" i="11" s="1"/>
  <c r="K85" i="11"/>
  <c r="H88" i="11" s="1"/>
  <c r="H92" i="11" s="1"/>
  <c r="O95" i="11" s="1"/>
  <c r="R23" i="11" s="1"/>
  <c r="D87" i="11"/>
  <c r="D91" i="11" s="1"/>
  <c r="N91" i="11" s="1"/>
  <c r="Q19" i="11" s="1"/>
  <c r="G88" i="11"/>
  <c r="G92" i="11" s="1"/>
  <c r="O94" i="11" s="1"/>
  <c r="R22" i="11" s="1"/>
  <c r="G87" i="11" l="1"/>
  <c r="G91" i="11" s="1"/>
  <c r="N94" i="11" s="1"/>
  <c r="Q22" i="11" s="1"/>
  <c r="F88" i="11"/>
  <c r="F92" i="11" s="1"/>
  <c r="O93" i="11" s="1"/>
  <c r="R21" i="11" s="1"/>
  <c r="D88" i="11"/>
  <c r="D92" i="11" s="1"/>
  <c r="O91" i="11" s="1"/>
  <c r="R19" i="11" s="1"/>
  <c r="F87" i="11"/>
  <c r="F91" i="11" s="1"/>
  <c r="N93" i="11" s="1"/>
  <c r="Q21" i="11" s="1"/>
  <c r="E88" i="11"/>
  <c r="E92" i="11" s="1"/>
  <c r="O92" i="11" s="1"/>
  <c r="R20" i="11" s="1"/>
  <c r="E87" i="11"/>
  <c r="E91" i="11" s="1"/>
  <c r="N92" i="11" s="1"/>
  <c r="Q20" i="11" s="1"/>
  <c r="I62" i="3"/>
  <c r="F62" i="3"/>
  <c r="G62" i="3"/>
  <c r="J62" i="3"/>
  <c r="H62" i="3"/>
  <c r="E62" i="3"/>
  <c r="D62" i="3"/>
  <c r="L61" i="3" l="1"/>
  <c r="M61" i="3" s="1"/>
  <c r="L59" i="3"/>
  <c r="M59" i="3" s="1"/>
  <c r="L60" i="3"/>
  <c r="M60" i="3" s="1"/>
  <c r="M63" i="3" l="1"/>
  <c r="K98" i="3" s="1"/>
  <c r="C100" i="3" s="1"/>
  <c r="D100" i="3" s="1"/>
  <c r="C102" i="3" l="1"/>
  <c r="D102" i="3" s="1"/>
  <c r="C103" i="3"/>
  <c r="D103" i="3" s="1"/>
  <c r="D120" i="3"/>
  <c r="D119" i="3"/>
  <c r="E120" i="3"/>
  <c r="E119" i="3"/>
  <c r="C104" i="3"/>
  <c r="D104" i="3" s="1"/>
  <c r="C101" i="3"/>
  <c r="D101" i="3" s="1"/>
  <c r="M64" i="3"/>
  <c r="K123" i="3" s="1"/>
  <c r="C130" i="3" s="1"/>
  <c r="D130" i="3" s="1"/>
  <c r="D105" i="3" l="1"/>
  <c r="E101" i="3" s="1"/>
  <c r="I149" i="3"/>
  <c r="K148" i="3"/>
  <c r="C126" i="3"/>
  <c r="D126" i="3" s="1"/>
  <c r="C125" i="3"/>
  <c r="D125" i="3" s="1"/>
  <c r="C127" i="3"/>
  <c r="D127" i="3" s="1"/>
  <c r="I148" i="3"/>
  <c r="C129" i="3"/>
  <c r="D129" i="3" s="1"/>
  <c r="K149" i="3"/>
  <c r="C128" i="3"/>
  <c r="D128" i="3" s="1"/>
  <c r="E104" i="3" l="1"/>
  <c r="J111" i="3" s="1"/>
  <c r="E103" i="3"/>
  <c r="J116" i="3" s="1"/>
  <c r="E100" i="3"/>
  <c r="H113" i="3" s="1"/>
  <c r="E102" i="3"/>
  <c r="J109" i="3" s="1"/>
  <c r="H114" i="3"/>
  <c r="J108" i="3"/>
  <c r="D108" i="3"/>
  <c r="H108" i="3"/>
  <c r="G108" i="3"/>
  <c r="E108" i="3"/>
  <c r="F114" i="3"/>
  <c r="E114" i="3"/>
  <c r="I114" i="3"/>
  <c r="D114" i="3"/>
  <c r="I108" i="3"/>
  <c r="J114" i="3"/>
  <c r="F108" i="3"/>
  <c r="G114" i="3"/>
  <c r="D131" i="3"/>
  <c r="F111" i="3" l="1"/>
  <c r="G111" i="3"/>
  <c r="D117" i="3"/>
  <c r="E111" i="3"/>
  <c r="D111" i="3"/>
  <c r="J117" i="3"/>
  <c r="E116" i="3"/>
  <c r="G117" i="3"/>
  <c r="E117" i="3"/>
  <c r="F117" i="3"/>
  <c r="I117" i="3"/>
  <c r="I111" i="3"/>
  <c r="H111" i="3"/>
  <c r="H117" i="3"/>
  <c r="F110" i="3"/>
  <c r="G116" i="3"/>
  <c r="I116" i="3"/>
  <c r="D110" i="3"/>
  <c r="I110" i="3"/>
  <c r="J110" i="3"/>
  <c r="H110" i="3"/>
  <c r="E110" i="3"/>
  <c r="F116" i="3"/>
  <c r="G110" i="3"/>
  <c r="H116" i="3"/>
  <c r="D116" i="3"/>
  <c r="I113" i="3"/>
  <c r="D115" i="3"/>
  <c r="G107" i="3"/>
  <c r="E113" i="3"/>
  <c r="F107" i="3"/>
  <c r="D107" i="3"/>
  <c r="I107" i="3"/>
  <c r="H107" i="3"/>
  <c r="G113" i="3"/>
  <c r="E107" i="3"/>
  <c r="J113" i="3"/>
  <c r="J107" i="3"/>
  <c r="D113" i="3"/>
  <c r="H115" i="3"/>
  <c r="G109" i="3"/>
  <c r="D109" i="3"/>
  <c r="I109" i="3"/>
  <c r="F115" i="3"/>
  <c r="F113" i="3"/>
  <c r="J115" i="3"/>
  <c r="I115" i="3"/>
  <c r="E109" i="3"/>
  <c r="F109" i="3"/>
  <c r="E115" i="3"/>
  <c r="H109" i="3"/>
  <c r="G115" i="3"/>
  <c r="E130" i="3"/>
  <c r="E127" i="3"/>
  <c r="E125" i="3"/>
  <c r="E129" i="3"/>
  <c r="E126" i="3"/>
  <c r="E128" i="3"/>
  <c r="K111" i="3" l="1"/>
  <c r="H119" i="3" s="1"/>
  <c r="H145" i="3" s="1"/>
  <c r="K117" i="3"/>
  <c r="F133" i="3"/>
  <c r="F140" i="3"/>
  <c r="G140" i="3"/>
  <c r="E133" i="3"/>
  <c r="J140" i="3"/>
  <c r="H140" i="3"/>
  <c r="D140" i="3"/>
  <c r="D133" i="3"/>
  <c r="H133" i="3"/>
  <c r="I140" i="3"/>
  <c r="E140" i="3"/>
  <c r="G133" i="3"/>
  <c r="I133" i="3"/>
  <c r="J133" i="3"/>
  <c r="J136" i="3"/>
  <c r="D143" i="3"/>
  <c r="E143" i="3"/>
  <c r="E136" i="3"/>
  <c r="G136" i="3"/>
  <c r="D136" i="3"/>
  <c r="J143" i="3"/>
  <c r="F136" i="3"/>
  <c r="H136" i="3"/>
  <c r="F143" i="3"/>
  <c r="I136" i="3"/>
  <c r="H143" i="3"/>
  <c r="G143" i="3"/>
  <c r="I143" i="3"/>
  <c r="G142" i="3"/>
  <c r="D142" i="3"/>
  <c r="J142" i="3"/>
  <c r="H135" i="3"/>
  <c r="F142" i="3"/>
  <c r="J135" i="3"/>
  <c r="I142" i="3"/>
  <c r="I135" i="3"/>
  <c r="D135" i="3"/>
  <c r="G135" i="3"/>
  <c r="E135" i="3"/>
  <c r="H142" i="3"/>
  <c r="E142" i="3"/>
  <c r="F135" i="3"/>
  <c r="D137" i="3"/>
  <c r="D144" i="3"/>
  <c r="I137" i="3"/>
  <c r="E137" i="3"/>
  <c r="I144" i="3"/>
  <c r="G144" i="3"/>
  <c r="J137" i="3"/>
  <c r="G137" i="3"/>
  <c r="F137" i="3"/>
  <c r="F144" i="3"/>
  <c r="H137" i="3"/>
  <c r="E144" i="3"/>
  <c r="H144" i="3"/>
  <c r="J144" i="3"/>
  <c r="G141" i="3"/>
  <c r="I141" i="3"/>
  <c r="D134" i="3"/>
  <c r="J141" i="3"/>
  <c r="E141" i="3"/>
  <c r="F141" i="3"/>
  <c r="H141" i="3"/>
  <c r="I134" i="3"/>
  <c r="D141" i="3"/>
  <c r="H134" i="3"/>
  <c r="J134" i="3"/>
  <c r="G134" i="3"/>
  <c r="F134" i="3"/>
  <c r="E134" i="3"/>
  <c r="H138" i="3"/>
  <c r="E145" i="3"/>
  <c r="D145" i="3"/>
  <c r="E138" i="3"/>
  <c r="D138" i="3"/>
  <c r="F120" i="3"/>
  <c r="F119" i="3"/>
  <c r="G119" i="3" l="1"/>
  <c r="G145" i="3" s="1"/>
  <c r="J120" i="3"/>
  <c r="H120" i="3"/>
  <c r="I119" i="3"/>
  <c r="I138" i="3" s="1"/>
  <c r="J119" i="3"/>
  <c r="G120" i="3"/>
  <c r="I120" i="3"/>
  <c r="I153" i="3" s="1"/>
  <c r="F161" i="3" s="1"/>
  <c r="R24" i="3" s="1"/>
  <c r="V24" i="3" s="1"/>
  <c r="G31" i="4" s="1"/>
  <c r="F145" i="3"/>
  <c r="F138" i="3"/>
  <c r="G138" i="3" l="1"/>
  <c r="J145" i="3"/>
  <c r="J138" i="3"/>
  <c r="K138" i="3" s="1"/>
  <c r="H148" i="3" s="1"/>
  <c r="H152" i="3" s="1"/>
  <c r="E160" i="3" s="1"/>
  <c r="Q23" i="3" s="1"/>
  <c r="U23" i="3" s="1"/>
  <c r="I152" i="3"/>
  <c r="E161" i="3" s="1"/>
  <c r="Q24" i="3" s="1"/>
  <c r="U24" i="3" s="1"/>
  <c r="I145" i="3"/>
  <c r="J148" i="3"/>
  <c r="J152" i="3" s="1"/>
  <c r="E162" i="3" s="1"/>
  <c r="Q25" i="3" s="1"/>
  <c r="U25" i="3" s="1"/>
  <c r="X23" i="3" l="1"/>
  <c r="C30" i="4" s="1"/>
  <c r="E30" i="4"/>
  <c r="E148" i="3"/>
  <c r="E152" i="3" s="1"/>
  <c r="E157" i="3" s="1"/>
  <c r="Q20" i="3" s="1"/>
  <c r="U20" i="3" s="1"/>
  <c r="E27" i="4" s="1"/>
  <c r="D148" i="3"/>
  <c r="D152" i="3" s="1"/>
  <c r="E156" i="3" s="1"/>
  <c r="Q19" i="3" s="1"/>
  <c r="U19" i="3" s="1"/>
  <c r="K145" i="3"/>
  <c r="F149" i="3" s="1"/>
  <c r="F153" i="3" s="1"/>
  <c r="F158" i="3" s="1"/>
  <c r="R21" i="3" s="1"/>
  <c r="V21" i="3" s="1"/>
  <c r="G28" i="4" s="1"/>
  <c r="E31" i="4"/>
  <c r="X24" i="3"/>
  <c r="C31" i="4" s="1"/>
  <c r="F148" i="3"/>
  <c r="F152" i="3" s="1"/>
  <c r="E158" i="3" s="1"/>
  <c r="Q21" i="3" s="1"/>
  <c r="U21" i="3" s="1"/>
  <c r="X21" i="3" s="1"/>
  <c r="C28" i="4" s="1"/>
  <c r="G148" i="3"/>
  <c r="G152" i="3" s="1"/>
  <c r="E159" i="3" s="1"/>
  <c r="Q22" i="3" s="1"/>
  <c r="U22" i="3" s="1"/>
  <c r="J149" i="3"/>
  <c r="J153" i="3" s="1"/>
  <c r="F162" i="3" s="1"/>
  <c r="R25" i="3" s="1"/>
  <c r="V25" i="3" s="1"/>
  <c r="G32" i="4" s="1"/>
  <c r="X25" i="3"/>
  <c r="C32" i="4" s="1"/>
  <c r="E32" i="4"/>
  <c r="D149" i="3" l="1"/>
  <c r="D153" i="3" s="1"/>
  <c r="F156" i="3" s="1"/>
  <c r="R19" i="3" s="1"/>
  <c r="V19" i="3" s="1"/>
  <c r="G26" i="4" s="1"/>
  <c r="H149" i="3"/>
  <c r="H153" i="3" s="1"/>
  <c r="F160" i="3" s="1"/>
  <c r="R23" i="3" s="1"/>
  <c r="V23" i="3" s="1"/>
  <c r="G30" i="4" s="1"/>
  <c r="X20" i="3"/>
  <c r="C27" i="4" s="1"/>
  <c r="E26" i="4"/>
  <c r="X19" i="3"/>
  <c r="C26" i="4" s="1"/>
  <c r="G149" i="3"/>
  <c r="G153" i="3" s="1"/>
  <c r="F159" i="3" s="1"/>
  <c r="R22" i="3" s="1"/>
  <c r="V22" i="3" s="1"/>
  <c r="G29" i="4" s="1"/>
  <c r="E149" i="3"/>
  <c r="E153" i="3" s="1"/>
  <c r="F157" i="3" s="1"/>
  <c r="R20" i="3" s="1"/>
  <c r="V20" i="3" s="1"/>
  <c r="G27" i="4" s="1"/>
  <c r="E28" i="4"/>
  <c r="X22" i="3"/>
  <c r="C29" i="4" s="1"/>
  <c r="E29" i="4"/>
</calcChain>
</file>

<file path=xl/sharedStrings.xml><?xml version="1.0" encoding="utf-8"?>
<sst xmlns="http://schemas.openxmlformats.org/spreadsheetml/2006/main" count="627" uniqueCount="177">
  <si>
    <t>x</t>
  </si>
  <si>
    <t>y</t>
  </si>
  <si>
    <t>Sum</t>
  </si>
  <si>
    <t>Rank</t>
  </si>
  <si>
    <t>X</t>
  </si>
  <si>
    <t>Y</t>
  </si>
  <si>
    <t>6th</t>
  </si>
  <si>
    <t>5th</t>
  </si>
  <si>
    <t>Firm</t>
  </si>
  <si>
    <t>7th</t>
  </si>
  <si>
    <t>4th</t>
  </si>
  <si>
    <t>x-7</t>
  </si>
  <si>
    <t>x-6</t>
  </si>
  <si>
    <t>x-5</t>
  </si>
  <si>
    <t>y-7</t>
  </si>
  <si>
    <t>y-6</t>
  </si>
  <si>
    <t>y-5</t>
  </si>
  <si>
    <t>3rd</t>
  </si>
  <si>
    <t>x-4</t>
  </si>
  <si>
    <t>3-7</t>
  </si>
  <si>
    <t>3-6</t>
  </si>
  <si>
    <t>3-5</t>
  </si>
  <si>
    <t>3-4</t>
  </si>
  <si>
    <t>y-4</t>
  </si>
  <si>
    <t>2nd</t>
  </si>
  <si>
    <t>2-7</t>
  </si>
  <si>
    <t>2-6</t>
  </si>
  <si>
    <t>2-5</t>
  </si>
  <si>
    <t>2-4</t>
  </si>
  <si>
    <t>2-3</t>
  </si>
  <si>
    <t>x-3</t>
  </si>
  <si>
    <t>y-3</t>
  </si>
  <si>
    <t>1st</t>
  </si>
  <si>
    <t>1-7</t>
  </si>
  <si>
    <t>1-6</t>
  </si>
  <si>
    <t>1-5</t>
  </si>
  <si>
    <t>1-4</t>
  </si>
  <si>
    <t>1-3</t>
  </si>
  <si>
    <t>1-2</t>
  </si>
  <si>
    <t>x-2</t>
  </si>
  <si>
    <t>y-2</t>
  </si>
  <si>
    <t>Simply type over the grey cells below to quickly and easily create your own Perceptual Map</t>
  </si>
  <si>
    <t>Step 1</t>
  </si>
  <si>
    <t>Enter the Title of Your Map</t>
  </si>
  <si>
    <t>(This is an example only. Simply type over this map title.)</t>
  </si>
  <si>
    <t>Step 2</t>
  </si>
  <si>
    <r>
      <t xml:space="preserve">Enter the two labels for your </t>
    </r>
    <r>
      <rPr>
        <b/>
        <u/>
        <sz val="14"/>
        <color indexed="8"/>
        <rFont val="Calibri"/>
        <family val="2"/>
      </rPr>
      <t>Horizontal</t>
    </r>
    <r>
      <rPr>
        <b/>
        <sz val="14"/>
        <color indexed="8"/>
        <rFont val="Calibri"/>
        <family val="2"/>
      </rPr>
      <t xml:space="preserve"> Axis</t>
    </r>
  </si>
  <si>
    <t>For the left side of the map</t>
  </si>
  <si>
    <t>Junk Food</t>
  </si>
  <si>
    <t>(These are examples only.</t>
  </si>
  <si>
    <t>For the right side of the map</t>
  </si>
  <si>
    <t>Healthy</t>
  </si>
  <si>
    <t>Type in your attributes.)</t>
  </si>
  <si>
    <t>Step 3</t>
  </si>
  <si>
    <r>
      <t xml:space="preserve">Enter the two labels for your </t>
    </r>
    <r>
      <rPr>
        <b/>
        <u/>
        <sz val="14"/>
        <color indexed="8"/>
        <rFont val="Calibri"/>
        <family val="2"/>
      </rPr>
      <t>Vertical</t>
    </r>
    <r>
      <rPr>
        <b/>
        <sz val="14"/>
        <color indexed="8"/>
        <rFont val="Calibri"/>
        <family val="2"/>
      </rPr>
      <t xml:space="preserve"> Axis</t>
    </r>
  </si>
  <si>
    <t>For the bottom of the map</t>
  </si>
  <si>
    <t>Limited Choice</t>
  </si>
  <si>
    <t>For the top of the map</t>
  </si>
  <si>
    <t>Wide Choice</t>
  </si>
  <si>
    <t>Please note that you can click on Attribute Ideas in the menu on the main website to help determine suitable brand/product attributes to use</t>
  </si>
  <si>
    <t>Or for more information on Perceptual Maps and/or the Market Segmentation, Targeting and Positioning (STP) process, please visit www.segmentationstudyguide.com</t>
  </si>
  <si>
    <t>Step 4</t>
  </si>
  <si>
    <t>Enter the Brands or Products to be Mapped</t>
  </si>
  <si>
    <t>Step 5</t>
  </si>
  <si>
    <t>Score each brand/product for the two attributes</t>
  </si>
  <si>
    <t>Step 6</t>
  </si>
  <si>
    <t>Change the circle sizes</t>
  </si>
  <si>
    <t>Up to a maximum of 25 brands/products</t>
  </si>
  <si>
    <t>Use a 1-9 scale, using the following table as a rough guide.</t>
  </si>
  <si>
    <r>
      <t xml:space="preserve">Please note that this is an </t>
    </r>
    <r>
      <rPr>
        <b/>
        <i/>
        <u/>
        <sz val="11"/>
        <color indexed="8"/>
        <rFont val="Calibri"/>
        <family val="2"/>
      </rPr>
      <t>optional</t>
    </r>
    <r>
      <rPr>
        <i/>
        <sz val="11"/>
        <color indexed="8"/>
        <rFont val="Calibri"/>
        <family val="2"/>
      </rPr>
      <t xml:space="preserve"> step</t>
    </r>
  </si>
  <si>
    <t>Horizontal Attribute</t>
  </si>
  <si>
    <t>Vertical Attribute</t>
  </si>
  <si>
    <t>Sizes</t>
  </si>
  <si>
    <t xml:space="preserve">1 = </t>
  </si>
  <si>
    <t xml:space="preserve">Small </t>
  </si>
  <si>
    <t>5 =</t>
  </si>
  <si>
    <t>Equal mix of both</t>
  </si>
  <si>
    <t>2 =</t>
  </si>
  <si>
    <t>Medum</t>
  </si>
  <si>
    <t>(Some examples provided, simply type over the brands below.)</t>
  </si>
  <si>
    <t>9 =</t>
  </si>
  <si>
    <t>3 =</t>
  </si>
  <si>
    <t>Large</t>
  </si>
  <si>
    <t>Step 7</t>
  </si>
  <si>
    <t>When finished entering your data above, simply copy  your Perceptual Map below and paste it into your document.</t>
  </si>
  <si>
    <t xml:space="preserve">To maintain the formating of the map </t>
  </si>
  <si>
    <t>when you copy it:</t>
  </si>
  <si>
    <t>Click on the  edge of the map</t>
  </si>
  <si>
    <t>to highlight it</t>
  </si>
  <si>
    <t>Select 'copy' from the menu</t>
  </si>
  <si>
    <t>Go to your document</t>
  </si>
  <si>
    <t>Select 'paste', then 'paste special'</t>
  </si>
  <si>
    <t>and choose 'bitmap'.</t>
  </si>
  <si>
    <t>Overall Similarities Perceptual Map</t>
  </si>
  <si>
    <t>Col</t>
  </si>
  <si>
    <t>7-6</t>
  </si>
  <si>
    <t>7-5</t>
  </si>
  <si>
    <t>7-4</t>
  </si>
  <si>
    <t>6-5</t>
  </si>
  <si>
    <t>6-4</t>
  </si>
  <si>
    <t>5-4</t>
  </si>
  <si>
    <t>Fixed</t>
  </si>
  <si>
    <t>Right</t>
  </si>
  <si>
    <t>Up</t>
  </si>
  <si>
    <t>Both</t>
  </si>
  <si>
    <t>End</t>
  </si>
  <si>
    <t>Firms 2 go</t>
  </si>
  <si>
    <t>FINAL</t>
  </si>
  <si>
    <t>Coke</t>
  </si>
  <si>
    <t>Pepsi</t>
  </si>
  <si>
    <t>Fanta</t>
  </si>
  <si>
    <t>Welcome to the Overall Similarities (OS) Perceptual Map Template</t>
  </si>
  <si>
    <t>INTRODUCTION</t>
  </si>
  <si>
    <t>An Overall Similarities (OS) perceptual map is simply another method of building a perceptual map. The key difference is that instead</t>
  </si>
  <si>
    <t>of rating specific brand or product attributes, consumers simply compare how similar the brands/products are in their view (perception).</t>
  </si>
  <si>
    <t>Overall Similarity perceptual maps are helpful if you are unsure of how consumers think about and distinguish between the offerings.</t>
  </si>
  <si>
    <t>By using this technique, you will need to work out HOW the consumers do this - OS perceptual maps only provide a series of points,</t>
  </si>
  <si>
    <t>IMPORTANT DISCLAIMER</t>
  </si>
  <si>
    <t>This is NOT a commercial template.</t>
  </si>
  <si>
    <t>It is ONLY designed for marketing students as a learning tool and to be able to provide an approximate perceptual map for assignments.</t>
  </si>
  <si>
    <t>If you need a commercial (MDS) solution, then you will need a statistical software package like SPSS.</t>
  </si>
  <si>
    <t>START HERE</t>
  </si>
  <si>
    <t>This template is designed to compare 5 to 7 brands and/or products - start by clicking how many you want to use.</t>
  </si>
  <si>
    <t>Go to map for 5 brands</t>
  </si>
  <si>
    <t>Go to map for 6 brands</t>
  </si>
  <si>
    <t>Go to map for 7 brands</t>
  </si>
  <si>
    <t>STEP ONE</t>
  </si>
  <si>
    <t xml:space="preserve">Enter your 5 brands/products below </t>
  </si>
  <si>
    <t>Brand/Product Name</t>
  </si>
  <si>
    <t>STEP TWO</t>
  </si>
  <si>
    <t>1 = Virtually the same</t>
  </si>
  <si>
    <t>Use a 1-9 scale (decimals are allowed)</t>
  </si>
  <si>
    <t>Compare EACH brand set to the right</t>
  </si>
  <si>
    <t>2 = Quite similar</t>
  </si>
  <si>
    <t>3 = Reasonably similar</t>
  </si>
  <si>
    <t>4 = Somewhat similar</t>
  </si>
  <si>
    <t>9 = Virtually opposites</t>
  </si>
  <si>
    <t>8 = Quite dissimilar</t>
  </si>
  <si>
    <t>7 = Reasonably dissimilar</t>
  </si>
  <si>
    <t>6 = Somewhat dissimilar</t>
  </si>
  <si>
    <t>5 = Neither (or unsure)</t>
  </si>
  <si>
    <t>How similar are…?</t>
  </si>
  <si>
    <t>Use the 1-9 scale</t>
  </si>
  <si>
    <t>Mt Dew</t>
  </si>
  <si>
    <t>7 Up</t>
  </si>
  <si>
    <t>Simply type over the BLUE cells to create your own OS perceptual map</t>
  </si>
  <si>
    <t>STEP THREE</t>
  </si>
  <si>
    <t>View your map</t>
  </si>
  <si>
    <t>Name your map</t>
  </si>
  <si>
    <t xml:space="preserve">Name = </t>
  </si>
  <si>
    <t>My OS Perceptual Map</t>
  </si>
  <si>
    <t>STEP FOUR</t>
  </si>
  <si>
    <t>Click here to view map - make sure all data is entered first</t>
  </si>
  <si>
    <t>STOP</t>
  </si>
  <si>
    <t>Go back to data</t>
  </si>
  <si>
    <t>Go back to Welcome Page</t>
  </si>
  <si>
    <t xml:space="preserve">Enter your 6 brands/products below </t>
  </si>
  <si>
    <t>Coke Zero</t>
  </si>
  <si>
    <t>Type in your own data.)</t>
  </si>
  <si>
    <t>(Example only)</t>
  </si>
  <si>
    <t>Diet Coke</t>
  </si>
  <si>
    <t>MORE INFORMATION</t>
  </si>
  <si>
    <t>The Market Segmentation Study Guide</t>
  </si>
  <si>
    <t>Making Perceptual Maps</t>
  </si>
  <si>
    <t>there are NO axes or labels on the resultant graph - that is up to you to work out.</t>
  </si>
  <si>
    <t>It has not been build using multi-dimensional scaling (MDS). Instead it uses a logical, weighted average approach to establish a best fit.</t>
  </si>
  <si>
    <t>Go back to Welcome Page and menu</t>
  </si>
  <si>
    <t>To Copy the Map</t>
  </si>
  <si>
    <t>Click on the edge of the map</t>
  </si>
  <si>
    <t>Select copy</t>
  </si>
  <si>
    <t>Paste in a document as a PICTURE</t>
  </si>
  <si>
    <t>CAUTION: Changing the data may produce an entirely NEW map!</t>
  </si>
  <si>
    <t>5-3</t>
  </si>
  <si>
    <t>3th</t>
  </si>
  <si>
    <t>START</t>
  </si>
  <si>
    <t>Rel 7</t>
  </si>
  <si>
    <t>Rel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</si>
</sst>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-* #,##0.00_-;\-* #,##0.00_-;_-* &quot;-&quot;??_-;_-@_-"/>
    <numFmt numFmtId="165" formatCode="_-* #,##0_-;\-* #,##0_-;_-* &quot;-&quot;??_-;_-@_-"/>
    <numFmt numFmtId="166" formatCode="0.0"/>
    <numFmt numFmtId="167" formatCode="0.0%"/>
    <numFmt numFmtId="168" formatCode="_-* #,##0.0_-;\-* #,##0.0_-;_-* &quot;-&quot;??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u/>
      <sz val="14"/>
      <color indexed="8"/>
      <name val="Calibri"/>
      <family val="2"/>
    </font>
    <font>
      <b/>
      <sz val="14"/>
      <color indexed="8"/>
      <name val="Calibri"/>
      <family val="2"/>
    </font>
    <font>
      <b/>
      <i/>
      <sz val="12"/>
      <color theme="1"/>
      <name val="Calibri"/>
      <family val="2"/>
      <scheme val="minor"/>
    </font>
    <font>
      <b/>
      <i/>
      <u/>
      <sz val="11"/>
      <color indexed="8"/>
      <name val="Calibri"/>
      <family val="2"/>
    </font>
    <font>
      <i/>
      <sz val="11"/>
      <color indexed="8"/>
      <name val="Calibri"/>
      <family val="2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39997558519241921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5" fillId="0" borderId="0" applyNumberFormat="0" applyFill="0" applyBorder="0" applyAlignment="0" applyProtection="0"/>
  </cellStyleXfs>
  <cellXfs count="332">
    <xf numFmtId="0" fontId="0" fillId="0" borderId="0" xfId="0"/>
    <xf numFmtId="0" fontId="0" fillId="0" borderId="0" xfId="0" applyAlignment="1">
      <alignment horizontal="right"/>
    </xf>
    <xf numFmtId="164" fontId="0" fillId="0" borderId="0" xfId="1" applyFont="1"/>
    <xf numFmtId="165" fontId="0" fillId="0" borderId="0" xfId="1" applyNumberFormat="1" applyFont="1"/>
    <xf numFmtId="0" fontId="0" fillId="2" borderId="0" xfId="0" applyFill="1"/>
    <xf numFmtId="0" fontId="0" fillId="3" borderId="0" xfId="0" applyFill="1"/>
    <xf numFmtId="0" fontId="0" fillId="4" borderId="0" xfId="0" applyFill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0" xfId="0" applyBorder="1"/>
    <xf numFmtId="0" fontId="2" fillId="0" borderId="2" xfId="0" applyFont="1" applyBorder="1"/>
    <xf numFmtId="0" fontId="0" fillId="0" borderId="0" xfId="0" applyBorder="1" applyAlignment="1">
      <alignment horizontal="right"/>
    </xf>
    <xf numFmtId="0" fontId="0" fillId="0" borderId="9" xfId="0" applyBorder="1" applyAlignment="1">
      <alignment horizontal="right"/>
    </xf>
    <xf numFmtId="0" fontId="0" fillId="0" borderId="6" xfId="0" applyBorder="1" applyAlignment="1">
      <alignment horizontal="right"/>
    </xf>
    <xf numFmtId="0" fontId="0" fillId="5" borderId="2" xfId="0" applyFill="1" applyBorder="1"/>
    <xf numFmtId="0" fontId="0" fillId="5" borderId="0" xfId="0" applyFill="1" applyBorder="1"/>
    <xf numFmtId="0" fontId="0" fillId="5" borderId="7" xfId="0" applyFill="1" applyBorder="1"/>
    <xf numFmtId="0" fontId="0" fillId="5" borderId="3" xfId="0" applyFill="1" applyBorder="1"/>
    <xf numFmtId="0" fontId="0" fillId="5" borderId="4" xfId="0" applyFill="1" applyBorder="1"/>
    <xf numFmtId="0" fontId="0" fillId="5" borderId="9" xfId="0" applyFill="1" applyBorder="1"/>
    <xf numFmtId="0" fontId="0" fillId="2" borderId="4" xfId="0" applyFill="1" applyBorder="1"/>
    <xf numFmtId="0" fontId="0" fillId="2" borderId="0" xfId="0" applyFill="1" applyAlignment="1">
      <alignment horizontal="right"/>
    </xf>
    <xf numFmtId="0" fontId="0" fillId="0" borderId="0" xfId="0" applyFill="1" applyBorder="1" applyAlignment="1">
      <alignment horizontal="right"/>
    </xf>
    <xf numFmtId="0" fontId="0" fillId="0" borderId="5" xfId="0" applyBorder="1" applyAlignment="1">
      <alignment horizontal="right"/>
    </xf>
    <xf numFmtId="0" fontId="0" fillId="0" borderId="7" xfId="0" applyBorder="1" applyAlignment="1">
      <alignment horizontal="right"/>
    </xf>
    <xf numFmtId="0" fontId="0" fillId="0" borderId="2" xfId="0" applyBorder="1" applyAlignment="1">
      <alignment horizontal="right"/>
    </xf>
    <xf numFmtId="0" fontId="0" fillId="0" borderId="0" xfId="0" quotePrefix="1" applyAlignment="1">
      <alignment horizontal="right"/>
    </xf>
    <xf numFmtId="16" fontId="0" fillId="0" borderId="0" xfId="0" quotePrefix="1" applyNumberFormat="1" applyAlignment="1">
      <alignment horizontal="right"/>
    </xf>
    <xf numFmtId="0" fontId="3" fillId="0" borderId="0" xfId="0" applyFont="1"/>
    <xf numFmtId="166" fontId="0" fillId="0" borderId="0" xfId="0" applyNumberFormat="1" applyBorder="1"/>
    <xf numFmtId="9" fontId="0" fillId="0" borderId="0" xfId="2" applyFont="1"/>
    <xf numFmtId="43" fontId="0" fillId="0" borderId="0" xfId="0" applyNumberFormat="1"/>
    <xf numFmtId="164" fontId="0" fillId="0" borderId="0" xfId="0" applyNumberFormat="1"/>
    <xf numFmtId="167" fontId="0" fillId="0" borderId="0" xfId="2" applyNumberFormat="1" applyFont="1"/>
    <xf numFmtId="0" fontId="0" fillId="0" borderId="0" xfId="0" applyFill="1" applyBorder="1"/>
    <xf numFmtId="0" fontId="0" fillId="0" borderId="0" xfId="0" applyAlignment="1">
      <alignment vertical="center"/>
    </xf>
    <xf numFmtId="0" fontId="0" fillId="6" borderId="5" xfId="0" applyFill="1" applyBorder="1" applyAlignment="1">
      <alignment vertical="center"/>
    </xf>
    <xf numFmtId="0" fontId="0" fillId="6" borderId="6" xfId="0" applyFill="1" applyBorder="1" applyAlignment="1">
      <alignment vertical="center"/>
    </xf>
    <xf numFmtId="0" fontId="0" fillId="6" borderId="7" xfId="0" applyFill="1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0" xfId="0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0" fillId="0" borderId="9" xfId="0" applyBorder="1" applyAlignment="1">
      <alignment vertical="center"/>
    </xf>
    <xf numFmtId="0" fontId="6" fillId="2" borderId="1" xfId="0" applyFont="1" applyFill="1" applyBorder="1" applyAlignment="1">
      <alignment horizontal="center" vertical="center"/>
    </xf>
    <xf numFmtId="0" fontId="7" fillId="6" borderId="0" xfId="0" applyFont="1" applyFill="1" applyBorder="1" applyAlignment="1">
      <alignment vertical="center"/>
    </xf>
    <xf numFmtId="0" fontId="7" fillId="0" borderId="0" xfId="0" applyFont="1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7" fillId="6" borderId="3" xfId="0" applyFont="1" applyFill="1" applyBorder="1" applyAlignment="1">
      <alignment vertical="center"/>
    </xf>
    <xf numFmtId="0" fontId="7" fillId="0" borderId="3" xfId="0" applyFont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4" fillId="8" borderId="0" xfId="0" applyFont="1" applyFill="1" applyBorder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0" fontId="4" fillId="7" borderId="0" xfId="0" applyFont="1" applyFill="1" applyBorder="1" applyAlignment="1" applyProtection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11" fillId="9" borderId="8" xfId="0" applyFont="1" applyFill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6" fillId="2" borderId="10" xfId="0" applyFont="1" applyFill="1" applyBorder="1" applyAlignment="1">
      <alignment horizontal="center" vertical="center"/>
    </xf>
    <xf numFmtId="0" fontId="7" fillId="6" borderId="9" xfId="0" applyFont="1" applyFill="1" applyBorder="1" applyAlignment="1">
      <alignment vertical="center"/>
    </xf>
    <xf numFmtId="0" fontId="7" fillId="6" borderId="9" xfId="0" applyFont="1" applyFill="1" applyBorder="1" applyAlignment="1">
      <alignment horizontal="left" vertical="center"/>
    </xf>
    <xf numFmtId="0" fontId="4" fillId="8" borderId="7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0" fillId="9" borderId="2" xfId="0" applyFill="1" applyBorder="1" applyAlignment="1">
      <alignment vertical="center"/>
    </xf>
    <xf numFmtId="0" fontId="14" fillId="9" borderId="4" xfId="0" applyFont="1" applyFill="1" applyBorder="1" applyAlignment="1">
      <alignment horizontal="center" vertical="center"/>
    </xf>
    <xf numFmtId="0" fontId="14" fillId="9" borderId="2" xfId="0" applyFont="1" applyFill="1" applyBorder="1" applyAlignment="1">
      <alignment vertical="center"/>
    </xf>
    <xf numFmtId="0" fontId="4" fillId="9" borderId="8" xfId="0" applyFont="1" applyFill="1" applyBorder="1" applyAlignment="1">
      <alignment horizontal="center" vertical="center"/>
    </xf>
    <xf numFmtId="0" fontId="0" fillId="9" borderId="9" xfId="0" applyFill="1" applyBorder="1" applyAlignment="1">
      <alignment horizontal="center" vertical="center"/>
    </xf>
    <xf numFmtId="0" fontId="3" fillId="8" borderId="7" xfId="0" applyFont="1" applyFill="1" applyBorder="1" applyAlignment="1">
      <alignment horizontal="center" vertical="center"/>
    </xf>
    <xf numFmtId="0" fontId="4" fillId="9" borderId="5" xfId="0" applyFont="1" applyFill="1" applyBorder="1" applyAlignment="1">
      <alignment horizontal="center" vertical="center"/>
    </xf>
    <xf numFmtId="0" fontId="0" fillId="9" borderId="7" xfId="0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7" borderId="11" xfId="0" applyFont="1" applyFill="1" applyBorder="1" applyAlignment="1" applyProtection="1">
      <alignment horizontal="center" vertical="center"/>
    </xf>
    <xf numFmtId="0" fontId="0" fillId="0" borderId="2" xfId="0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7" borderId="4" xfId="0" applyFont="1" applyFill="1" applyBorder="1" applyAlignment="1">
      <alignment horizontal="center" vertical="center"/>
    </xf>
    <xf numFmtId="0" fontId="4" fillId="7" borderId="12" xfId="0" applyFont="1" applyFill="1" applyBorder="1" applyAlignment="1" applyProtection="1">
      <alignment horizontal="center" vertical="center"/>
    </xf>
    <xf numFmtId="0" fontId="4" fillId="0" borderId="8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7" borderId="9" xfId="0" applyFont="1" applyFill="1" applyBorder="1" applyAlignment="1">
      <alignment horizontal="center" vertical="center"/>
    </xf>
    <xf numFmtId="0" fontId="4" fillId="7" borderId="12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7" borderId="10" xfId="0" applyFont="1" applyFill="1" applyBorder="1" applyAlignment="1">
      <alignment horizontal="center" vertical="center"/>
    </xf>
    <xf numFmtId="0" fontId="4" fillId="7" borderId="7" xfId="0" applyFont="1" applyFill="1" applyBorder="1" applyAlignment="1">
      <alignment horizontal="center" vertical="center"/>
    </xf>
    <xf numFmtId="0" fontId="4" fillId="0" borderId="5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7" borderId="1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6" borderId="3" xfId="0" applyFill="1" applyBorder="1" applyAlignment="1">
      <alignment vertical="center"/>
    </xf>
    <xf numFmtId="0" fontId="4" fillId="6" borderId="3" xfId="0" applyFont="1" applyFill="1" applyBorder="1" applyAlignment="1">
      <alignment horizontal="center" vertical="center"/>
    </xf>
    <xf numFmtId="0" fontId="0" fillId="6" borderId="4" xfId="0" applyFill="1" applyBorder="1" applyAlignment="1">
      <alignment vertical="center"/>
    </xf>
    <xf numFmtId="0" fontId="4" fillId="9" borderId="8" xfId="0" applyFont="1" applyFill="1" applyBorder="1" applyAlignment="1">
      <alignment vertical="center"/>
    </xf>
    <xf numFmtId="0" fontId="4" fillId="9" borderId="9" xfId="0" applyFont="1" applyFill="1" applyBorder="1" applyAlignment="1">
      <alignment vertical="center"/>
    </xf>
    <xf numFmtId="0" fontId="0" fillId="9" borderId="8" xfId="0" applyFill="1" applyBorder="1" applyAlignment="1">
      <alignment vertical="center"/>
    </xf>
    <xf numFmtId="0" fontId="0" fillId="9" borderId="9" xfId="0" applyFill="1" applyBorder="1" applyAlignment="1">
      <alignment vertical="center"/>
    </xf>
    <xf numFmtId="0" fontId="0" fillId="9" borderId="5" xfId="0" applyFill="1" applyBorder="1" applyAlignment="1">
      <alignment vertical="center"/>
    </xf>
    <xf numFmtId="0" fontId="4" fillId="9" borderId="7" xfId="0" applyFont="1" applyFill="1" applyBorder="1" applyAlignment="1">
      <alignment vertical="center"/>
    </xf>
    <xf numFmtId="0" fontId="0" fillId="0" borderId="2" xfId="0" quotePrefix="1" applyBorder="1" applyAlignment="1">
      <alignment horizontal="right"/>
    </xf>
    <xf numFmtId="16" fontId="0" fillId="0" borderId="8" xfId="0" quotePrefix="1" applyNumberFormat="1" applyBorder="1" applyAlignment="1">
      <alignment horizontal="right"/>
    </xf>
    <xf numFmtId="16" fontId="0" fillId="0" borderId="5" xfId="0" quotePrefix="1" applyNumberFormat="1" applyBorder="1" applyAlignment="1">
      <alignment horizontal="right"/>
    </xf>
    <xf numFmtId="0" fontId="0" fillId="0" borderId="3" xfId="0" applyBorder="1" applyAlignment="1">
      <alignment horizontal="right"/>
    </xf>
    <xf numFmtId="0" fontId="0" fillId="0" borderId="8" xfId="0" applyBorder="1" applyAlignment="1">
      <alignment horizontal="right"/>
    </xf>
    <xf numFmtId="0" fontId="0" fillId="0" borderId="8" xfId="0" quotePrefix="1" applyBorder="1" applyAlignment="1">
      <alignment horizontal="right"/>
    </xf>
    <xf numFmtId="0" fontId="2" fillId="2" borderId="11" xfId="0" applyFont="1" applyFill="1" applyBorder="1" applyAlignment="1">
      <alignment horizontal="center"/>
    </xf>
    <xf numFmtId="164" fontId="2" fillId="2" borderId="12" xfId="0" applyNumberFormat="1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164" fontId="2" fillId="2" borderId="10" xfId="0" applyNumberFormat="1" applyFont="1" applyFill="1" applyBorder="1" applyAlignment="1">
      <alignment horizontal="center"/>
    </xf>
    <xf numFmtId="0" fontId="0" fillId="7" borderId="0" xfId="0" applyFill="1"/>
    <xf numFmtId="0" fontId="0" fillId="5" borderId="0" xfId="0" applyFill="1"/>
    <xf numFmtId="164" fontId="2" fillId="5" borderId="0" xfId="0" applyNumberFormat="1" applyFont="1" applyFill="1"/>
    <xf numFmtId="164" fontId="2" fillId="5" borderId="0" xfId="1" applyFont="1" applyFill="1"/>
    <xf numFmtId="165" fontId="2" fillId="0" borderId="14" xfId="1" applyNumberFormat="1" applyFont="1" applyBorder="1"/>
    <xf numFmtId="165" fontId="2" fillId="0" borderId="15" xfId="1" applyNumberFormat="1" applyFont="1" applyBorder="1"/>
    <xf numFmtId="165" fontId="2" fillId="0" borderId="16" xfId="1" applyNumberFormat="1" applyFont="1" applyBorder="1"/>
    <xf numFmtId="165" fontId="0" fillId="0" borderId="0" xfId="0" applyNumberFormat="1"/>
    <xf numFmtId="0" fontId="2" fillId="0" borderId="11" xfId="0" applyFont="1" applyFill="1" applyBorder="1" applyAlignment="1">
      <alignment horizontal="right"/>
    </xf>
    <xf numFmtId="165" fontId="0" fillId="0" borderId="12" xfId="1" applyNumberFormat="1" applyFont="1" applyBorder="1"/>
    <xf numFmtId="165" fontId="0" fillId="0" borderId="10" xfId="1" applyNumberFormat="1" applyFont="1" applyBorder="1"/>
    <xf numFmtId="0" fontId="0" fillId="2" borderId="9" xfId="0" applyFill="1" applyBorder="1"/>
    <xf numFmtId="0" fontId="0" fillId="2" borderId="7" xfId="0" applyFill="1" applyBorder="1"/>
    <xf numFmtId="165" fontId="0" fillId="2" borderId="0" xfId="1" applyNumberFormat="1" applyFont="1" applyFill="1"/>
    <xf numFmtId="164" fontId="0" fillId="2" borderId="0" xfId="1" applyFont="1" applyFill="1"/>
    <xf numFmtId="0" fontId="0" fillId="2" borderId="0" xfId="0" applyFill="1" applyBorder="1" applyAlignment="1">
      <alignment horizontal="right"/>
    </xf>
    <xf numFmtId="0" fontId="0" fillId="5" borderId="0" xfId="0" applyFill="1" applyBorder="1" applyAlignment="1">
      <alignment horizontal="right"/>
    </xf>
    <xf numFmtId="0" fontId="0" fillId="3" borderId="3" xfId="0" applyFill="1" applyBorder="1"/>
    <xf numFmtId="0" fontId="0" fillId="3" borderId="4" xfId="0" applyFill="1" applyBorder="1"/>
    <xf numFmtId="0" fontId="0" fillId="3" borderId="2" xfId="0" applyFill="1" applyBorder="1"/>
    <xf numFmtId="0" fontId="0" fillId="3" borderId="8" xfId="0" applyFill="1" applyBorder="1"/>
    <xf numFmtId="0" fontId="0" fillId="3" borderId="0" xfId="0" applyFill="1" applyBorder="1" applyAlignment="1">
      <alignment horizontal="right"/>
    </xf>
    <xf numFmtId="43" fontId="0" fillId="3" borderId="0" xfId="0" applyNumberFormat="1" applyFill="1" applyBorder="1"/>
    <xf numFmtId="0" fontId="0" fillId="3" borderId="9" xfId="0" applyFill="1" applyBorder="1"/>
    <xf numFmtId="0" fontId="0" fillId="3" borderId="5" xfId="0" applyFill="1" applyBorder="1"/>
    <xf numFmtId="0" fontId="0" fillId="3" borderId="6" xfId="0" applyFill="1" applyBorder="1" applyAlignment="1">
      <alignment horizontal="right"/>
    </xf>
    <xf numFmtId="43" fontId="0" fillId="3" borderId="6" xfId="0" applyNumberFormat="1" applyFill="1" applyBorder="1"/>
    <xf numFmtId="0" fontId="0" fillId="3" borderId="7" xfId="0" applyFill="1" applyBorder="1"/>
    <xf numFmtId="43" fontId="0" fillId="0" borderId="0" xfId="0" applyNumberFormat="1" applyBorder="1"/>
    <xf numFmtId="43" fontId="0" fillId="0" borderId="2" xfId="0" applyNumberFormat="1" applyFill="1" applyBorder="1"/>
    <xf numFmtId="43" fontId="0" fillId="0" borderId="3" xfId="0" applyNumberFormat="1" applyFill="1" applyBorder="1"/>
    <xf numFmtId="43" fontId="0" fillId="0" borderId="8" xfId="0" applyNumberFormat="1" applyFill="1" applyBorder="1"/>
    <xf numFmtId="43" fontId="0" fillId="0" borderId="0" xfId="0" applyNumberFormat="1" applyFill="1" applyBorder="1"/>
    <xf numFmtId="43" fontId="0" fillId="0" borderId="5" xfId="0" applyNumberFormat="1" applyFill="1" applyBorder="1"/>
    <xf numFmtId="43" fontId="0" fillId="0" borderId="6" xfId="0" applyNumberFormat="1" applyFill="1" applyBorder="1"/>
    <xf numFmtId="2" fontId="0" fillId="3" borderId="0" xfId="1" applyNumberFormat="1" applyFont="1" applyFill="1" applyAlignment="1">
      <alignment horizontal="center"/>
    </xf>
    <xf numFmtId="2" fontId="4" fillId="7" borderId="4" xfId="1" applyNumberFormat="1" applyFont="1" applyFill="1" applyBorder="1" applyAlignment="1" applyProtection="1">
      <alignment horizontal="center" vertical="center"/>
    </xf>
    <xf numFmtId="2" fontId="4" fillId="7" borderId="9" xfId="1" applyNumberFormat="1" applyFont="1" applyFill="1" applyBorder="1" applyAlignment="1" applyProtection="1">
      <alignment horizontal="center" vertical="center"/>
    </xf>
    <xf numFmtId="2" fontId="4" fillId="7" borderId="9" xfId="1" applyNumberFormat="1" applyFont="1" applyFill="1" applyBorder="1" applyAlignment="1">
      <alignment horizontal="center" vertical="center"/>
    </xf>
    <xf numFmtId="2" fontId="4" fillId="7" borderId="7" xfId="1" applyNumberFormat="1" applyFont="1" applyFill="1" applyBorder="1" applyAlignment="1">
      <alignment horizontal="center" vertical="center"/>
    </xf>
    <xf numFmtId="2" fontId="4" fillId="7" borderId="4" xfId="1" applyNumberFormat="1" applyFont="1" applyFill="1" applyBorder="1" applyAlignment="1">
      <alignment horizontal="center" vertical="center"/>
    </xf>
    <xf numFmtId="2" fontId="4" fillId="7" borderId="4" xfId="0" applyNumberFormat="1" applyFont="1" applyFill="1" applyBorder="1" applyAlignment="1" applyProtection="1">
      <alignment horizontal="center" vertical="center"/>
    </xf>
    <xf numFmtId="0" fontId="0" fillId="7" borderId="3" xfId="0" applyFill="1" applyBorder="1"/>
    <xf numFmtId="0" fontId="0" fillId="7" borderId="4" xfId="0" applyFill="1" applyBorder="1"/>
    <xf numFmtId="0" fontId="0" fillId="7" borderId="8" xfId="0" applyFill="1" applyBorder="1"/>
    <xf numFmtId="0" fontId="0" fillId="7" borderId="0" xfId="0" applyFill="1" applyBorder="1"/>
    <xf numFmtId="0" fontId="0" fillId="7" borderId="9" xfId="0" applyFill="1" applyBorder="1"/>
    <xf numFmtId="0" fontId="0" fillId="7" borderId="5" xfId="0" applyFill="1" applyBorder="1"/>
    <xf numFmtId="0" fontId="0" fillId="7" borderId="6" xfId="0" applyFill="1" applyBorder="1"/>
    <xf numFmtId="0" fontId="0" fillId="7" borderId="7" xfId="0" applyFill="1" applyBorder="1"/>
    <xf numFmtId="0" fontId="0" fillId="10" borderId="8" xfId="0" applyFill="1" applyBorder="1"/>
    <xf numFmtId="0" fontId="0" fillId="10" borderId="3" xfId="0" applyFill="1" applyBorder="1"/>
    <xf numFmtId="0" fontId="0" fillId="10" borderId="4" xfId="0" applyFill="1" applyBorder="1"/>
    <xf numFmtId="0" fontId="0" fillId="10" borderId="0" xfId="0" applyFill="1" applyBorder="1"/>
    <xf numFmtId="0" fontId="0" fillId="10" borderId="9" xfId="0" applyFill="1" applyBorder="1"/>
    <xf numFmtId="0" fontId="0" fillId="10" borderId="5" xfId="0" applyFill="1" applyBorder="1"/>
    <xf numFmtId="0" fontId="0" fillId="10" borderId="6" xfId="0" applyFill="1" applyBorder="1"/>
    <xf numFmtId="0" fontId="0" fillId="10" borderId="7" xfId="0" applyFill="1" applyBorder="1"/>
    <xf numFmtId="0" fontId="0" fillId="7" borderId="11" xfId="0" applyFill="1" applyBorder="1"/>
    <xf numFmtId="0" fontId="0" fillId="7" borderId="12" xfId="0" applyFill="1" applyBorder="1" applyAlignment="1">
      <alignment horizontal="center"/>
    </xf>
    <xf numFmtId="0" fontId="0" fillId="7" borderId="10" xfId="0" applyFill="1" applyBorder="1" applyAlignment="1">
      <alignment horizontal="center"/>
    </xf>
    <xf numFmtId="0" fontId="16" fillId="7" borderId="11" xfId="0" applyFont="1" applyFill="1" applyBorder="1" applyAlignment="1">
      <alignment horizontal="center"/>
    </xf>
    <xf numFmtId="0" fontId="3" fillId="0" borderId="0" xfId="0" applyFont="1" applyBorder="1" applyAlignment="1">
      <alignment horizontal="right" vertical="center"/>
    </xf>
    <xf numFmtId="0" fontId="0" fillId="7" borderId="0" xfId="0" applyFill="1" applyBorder="1" applyAlignment="1">
      <alignment horizontal="center"/>
    </xf>
    <xf numFmtId="0" fontId="0" fillId="11" borderId="12" xfId="0" applyFill="1" applyBorder="1" applyAlignment="1">
      <alignment horizontal="center"/>
    </xf>
    <xf numFmtId="0" fontId="0" fillId="11" borderId="10" xfId="0" applyFill="1" applyBorder="1" applyAlignment="1">
      <alignment horizontal="center"/>
    </xf>
    <xf numFmtId="0" fontId="3" fillId="7" borderId="0" xfId="0" applyFont="1" applyFill="1" applyBorder="1" applyAlignment="1">
      <alignment horizontal="center"/>
    </xf>
    <xf numFmtId="0" fontId="2" fillId="12" borderId="1" xfId="0" applyFont="1" applyFill="1" applyBorder="1" applyAlignment="1">
      <alignment horizontal="center"/>
    </xf>
    <xf numFmtId="0" fontId="18" fillId="7" borderId="8" xfId="0" applyFont="1" applyFill="1" applyBorder="1" applyAlignment="1">
      <alignment horizontal="center"/>
    </xf>
    <xf numFmtId="0" fontId="3" fillId="7" borderId="0" xfId="0" applyFont="1" applyFill="1" applyBorder="1"/>
    <xf numFmtId="0" fontId="0" fillId="11" borderId="7" xfId="0" applyFill="1" applyBorder="1"/>
    <xf numFmtId="0" fontId="0" fillId="8" borderId="13" xfId="0" applyFill="1" applyBorder="1" applyAlignment="1">
      <alignment horizontal="center"/>
    </xf>
    <xf numFmtId="0" fontId="18" fillId="7" borderId="11" xfId="0" applyFont="1" applyFill="1" applyBorder="1" applyAlignment="1">
      <alignment horizontal="center"/>
    </xf>
    <xf numFmtId="0" fontId="0" fillId="11" borderId="17" xfId="0" applyFill="1" applyBorder="1" applyAlignment="1">
      <alignment horizontal="center"/>
    </xf>
    <xf numFmtId="0" fontId="0" fillId="8" borderId="18" xfId="0" applyFill="1" applyBorder="1" applyAlignment="1">
      <alignment horizontal="center"/>
    </xf>
    <xf numFmtId="0" fontId="0" fillId="8" borderId="19" xfId="0" applyFill="1" applyBorder="1"/>
    <xf numFmtId="0" fontId="0" fillId="8" borderId="20" xfId="0" applyFill="1" applyBorder="1"/>
    <xf numFmtId="0" fontId="15" fillId="7" borderId="0" xfId="3" applyFill="1" applyBorder="1" applyAlignment="1">
      <alignment horizontal="center"/>
    </xf>
    <xf numFmtId="43" fontId="0" fillId="3" borderId="2" xfId="0" applyNumberFormat="1" applyFill="1" applyBorder="1"/>
    <xf numFmtId="43" fontId="0" fillId="3" borderId="4" xfId="0" applyNumberFormat="1" applyFill="1" applyBorder="1"/>
    <xf numFmtId="43" fontId="0" fillId="3" borderId="8" xfId="0" applyNumberFormat="1" applyFill="1" applyBorder="1"/>
    <xf numFmtId="43" fontId="0" fillId="3" borderId="9" xfId="0" applyNumberFormat="1" applyFill="1" applyBorder="1"/>
    <xf numFmtId="43" fontId="0" fillId="3" borderId="5" xfId="0" applyNumberFormat="1" applyFill="1" applyBorder="1"/>
    <xf numFmtId="43" fontId="0" fillId="3" borderId="7" xfId="0" applyNumberFormat="1" applyFill="1" applyBorder="1"/>
    <xf numFmtId="0" fontId="0" fillId="8" borderId="19" xfId="0" applyFill="1" applyBorder="1" applyAlignment="1">
      <alignment horizontal="center"/>
    </xf>
    <xf numFmtId="0" fontId="0" fillId="8" borderId="20" xfId="0" applyFill="1" applyBorder="1" applyAlignment="1">
      <alignment horizontal="center"/>
    </xf>
    <xf numFmtId="0" fontId="0" fillId="11" borderId="21" xfId="0" applyFill="1" applyBorder="1" applyAlignment="1">
      <alignment horizontal="center"/>
    </xf>
    <xf numFmtId="0" fontId="0" fillId="7" borderId="2" xfId="0" applyFill="1" applyBorder="1"/>
    <xf numFmtId="0" fontId="0" fillId="11" borderId="23" xfId="0" applyFill="1" applyBorder="1" applyAlignment="1">
      <alignment horizontal="center"/>
    </xf>
    <xf numFmtId="0" fontId="0" fillId="7" borderId="3" xfId="0" applyFill="1" applyBorder="1" applyAlignment="1">
      <alignment horizontal="center"/>
    </xf>
    <xf numFmtId="0" fontId="0" fillId="0" borderId="6" xfId="0" applyFill="1" applyBorder="1"/>
    <xf numFmtId="0" fontId="0" fillId="11" borderId="2" xfId="0" applyFill="1" applyBorder="1"/>
    <xf numFmtId="0" fontId="0" fillId="11" borderId="3" xfId="0" applyFill="1" applyBorder="1"/>
    <xf numFmtId="0" fontId="0" fillId="11" borderId="4" xfId="0" applyFill="1" applyBorder="1"/>
    <xf numFmtId="0" fontId="0" fillId="11" borderId="8" xfId="0" applyFill="1" applyBorder="1"/>
    <xf numFmtId="0" fontId="15" fillId="11" borderId="0" xfId="3" applyFill="1" applyBorder="1" applyAlignment="1">
      <alignment horizontal="center"/>
    </xf>
    <xf numFmtId="0" fontId="0" fillId="11" borderId="0" xfId="0" applyFill="1" applyBorder="1"/>
    <xf numFmtId="0" fontId="0" fillId="11" borderId="9" xfId="0" applyFill="1" applyBorder="1"/>
    <xf numFmtId="0" fontId="0" fillId="11" borderId="5" xfId="0" applyFill="1" applyBorder="1"/>
    <xf numFmtId="0" fontId="0" fillId="11" borderId="6" xfId="0" applyFill="1" applyBorder="1"/>
    <xf numFmtId="0" fontId="7" fillId="2" borderId="1" xfId="0" applyFont="1" applyFill="1" applyBorder="1" applyAlignment="1">
      <alignment horizontal="center"/>
    </xf>
    <xf numFmtId="0" fontId="7" fillId="2" borderId="14" xfId="0" applyFont="1" applyFill="1" applyBorder="1" applyAlignment="1">
      <alignment horizontal="center"/>
    </xf>
    <xf numFmtId="0" fontId="7" fillId="2" borderId="10" xfId="0" applyFont="1" applyFill="1" applyBorder="1" applyAlignment="1">
      <alignment horizontal="center"/>
    </xf>
    <xf numFmtId="0" fontId="0" fillId="6" borderId="2" xfId="0" applyFill="1" applyBorder="1"/>
    <xf numFmtId="0" fontId="7" fillId="6" borderId="3" xfId="0" applyFont="1" applyFill="1" applyBorder="1"/>
    <xf numFmtId="0" fontId="0" fillId="6" borderId="3" xfId="0" applyFill="1" applyBorder="1"/>
    <xf numFmtId="0" fontId="0" fillId="6" borderId="4" xfId="0" applyFill="1" applyBorder="1"/>
    <xf numFmtId="0" fontId="0" fillId="6" borderId="8" xfId="0" applyFill="1" applyBorder="1"/>
    <xf numFmtId="0" fontId="0" fillId="6" borderId="0" xfId="0" applyFill="1" applyBorder="1"/>
    <xf numFmtId="0" fontId="0" fillId="6" borderId="9" xfId="0" applyFill="1" applyBorder="1"/>
    <xf numFmtId="0" fontId="0" fillId="6" borderId="5" xfId="0" applyFill="1" applyBorder="1"/>
    <xf numFmtId="0" fontId="0" fillId="6" borderId="6" xfId="0" applyFill="1" applyBorder="1"/>
    <xf numFmtId="0" fontId="0" fillId="6" borderId="7" xfId="0" applyFill="1" applyBorder="1"/>
    <xf numFmtId="0" fontId="0" fillId="8" borderId="2" xfId="0" applyFill="1" applyBorder="1"/>
    <xf numFmtId="0" fontId="0" fillId="8" borderId="3" xfId="0" applyFill="1" applyBorder="1"/>
    <xf numFmtId="0" fontId="0" fillId="8" borderId="4" xfId="0" applyFill="1" applyBorder="1"/>
    <xf numFmtId="0" fontId="0" fillId="8" borderId="8" xfId="0" applyFill="1" applyBorder="1"/>
    <xf numFmtId="0" fontId="15" fillId="8" borderId="0" xfId="3" applyFill="1" applyBorder="1" applyAlignment="1">
      <alignment horizontal="center"/>
    </xf>
    <xf numFmtId="0" fontId="0" fillId="8" borderId="9" xfId="0" applyFill="1" applyBorder="1"/>
    <xf numFmtId="0" fontId="0" fillId="8" borderId="5" xfId="0" applyFill="1" applyBorder="1"/>
    <xf numFmtId="0" fontId="0" fillId="8" borderId="6" xfId="0" applyFill="1" applyBorder="1"/>
    <xf numFmtId="0" fontId="0" fillId="8" borderId="7" xfId="0" applyFill="1" applyBorder="1"/>
    <xf numFmtId="0" fontId="0" fillId="7" borderId="24" xfId="0" applyFill="1" applyBorder="1"/>
    <xf numFmtId="0" fontId="0" fillId="7" borderId="25" xfId="0" applyFill="1" applyBorder="1"/>
    <xf numFmtId="0" fontId="0" fillId="7" borderId="22" xfId="0" applyFill="1" applyBorder="1"/>
    <xf numFmtId="0" fontId="0" fillId="7" borderId="26" xfId="0" applyFill="1" applyBorder="1"/>
    <xf numFmtId="0" fontId="0" fillId="7" borderId="27" xfId="0" applyFill="1" applyBorder="1"/>
    <xf numFmtId="0" fontId="0" fillId="7" borderId="28" xfId="0" applyFill="1" applyBorder="1"/>
    <xf numFmtId="0" fontId="0" fillId="7" borderId="29" xfId="0" applyFill="1" applyBorder="1"/>
    <xf numFmtId="0" fontId="0" fillId="7" borderId="30" xfId="0" applyFill="1" applyBorder="1"/>
    <xf numFmtId="0" fontId="15" fillId="12" borderId="14" xfId="3" applyFill="1" applyBorder="1" applyAlignment="1">
      <alignment horizontal="center"/>
    </xf>
    <xf numFmtId="0" fontId="15" fillId="12" borderId="15" xfId="3" applyFill="1" applyBorder="1" applyAlignment="1">
      <alignment horizontal="center"/>
    </xf>
    <xf numFmtId="0" fontId="15" fillId="12" borderId="16" xfId="3" applyFill="1" applyBorder="1" applyAlignment="1">
      <alignment horizontal="center"/>
    </xf>
    <xf numFmtId="0" fontId="19" fillId="11" borderId="14" xfId="0" applyFont="1" applyFill="1" applyBorder="1" applyAlignment="1">
      <alignment horizontal="center"/>
    </xf>
    <xf numFmtId="0" fontId="19" fillId="11" borderId="15" xfId="0" applyFont="1" applyFill="1" applyBorder="1" applyAlignment="1">
      <alignment horizontal="center"/>
    </xf>
    <xf numFmtId="0" fontId="19" fillId="11" borderId="16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14" fillId="2" borderId="14" xfId="0" applyFont="1" applyFill="1" applyBorder="1" applyAlignment="1">
      <alignment horizontal="center"/>
    </xf>
    <xf numFmtId="0" fontId="14" fillId="2" borderId="16" xfId="0" applyFont="1" applyFill="1" applyBorder="1" applyAlignment="1">
      <alignment horizontal="center"/>
    </xf>
    <xf numFmtId="0" fontId="15" fillId="7" borderId="0" xfId="3" applyFill="1" applyBorder="1" applyAlignment="1">
      <alignment horizontal="center"/>
    </xf>
    <xf numFmtId="0" fontId="5" fillId="11" borderId="14" xfId="0" applyFont="1" applyFill="1" applyBorder="1" applyAlignment="1">
      <alignment horizontal="center"/>
    </xf>
    <xf numFmtId="0" fontId="5" fillId="11" borderId="15" xfId="0" applyFont="1" applyFill="1" applyBorder="1" applyAlignment="1">
      <alignment horizontal="center"/>
    </xf>
    <xf numFmtId="0" fontId="5" fillId="11" borderId="16" xfId="0" applyFont="1" applyFill="1" applyBorder="1" applyAlignment="1">
      <alignment horizontal="center"/>
    </xf>
    <xf numFmtId="0" fontId="17" fillId="8" borderId="2" xfId="0" applyFont="1" applyFill="1" applyBorder="1" applyAlignment="1">
      <alignment horizontal="center"/>
    </xf>
    <xf numFmtId="0" fontId="17" fillId="8" borderId="4" xfId="0" applyFont="1" applyFill="1" applyBorder="1" applyAlignment="1">
      <alignment horizontal="center"/>
    </xf>
    <xf numFmtId="0" fontId="2" fillId="7" borderId="14" xfId="0" applyFont="1" applyFill="1" applyBorder="1" applyAlignment="1">
      <alignment horizontal="center"/>
    </xf>
    <xf numFmtId="0" fontId="2" fillId="7" borderId="15" xfId="0" applyFont="1" applyFill="1" applyBorder="1" applyAlignment="1">
      <alignment horizontal="center"/>
    </xf>
    <xf numFmtId="0" fontId="2" fillId="7" borderId="16" xfId="0" applyFont="1" applyFill="1" applyBorder="1" applyAlignment="1">
      <alignment horizontal="center"/>
    </xf>
    <xf numFmtId="0" fontId="14" fillId="9" borderId="5" xfId="0" applyFont="1" applyFill="1" applyBorder="1" applyAlignment="1">
      <alignment horizontal="center" vertical="center"/>
    </xf>
    <xf numFmtId="0" fontId="14" fillId="9" borderId="7" xfId="0" applyFont="1" applyFill="1" applyBorder="1" applyAlignment="1">
      <alignment horizontal="center" vertical="center"/>
    </xf>
    <xf numFmtId="0" fontId="5" fillId="6" borderId="2" xfId="0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0" fontId="8" fillId="7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1" fillId="8" borderId="8" xfId="0" applyFont="1" applyFill="1" applyBorder="1" applyAlignment="1">
      <alignment horizontal="center" vertical="center"/>
    </xf>
    <xf numFmtId="0" fontId="11" fillId="8" borderId="0" xfId="0" applyFont="1" applyFill="1" applyBorder="1" applyAlignment="1">
      <alignment horizontal="center" vertical="center"/>
    </xf>
    <xf numFmtId="0" fontId="11" fillId="8" borderId="9" xfId="0" applyFont="1" applyFill="1" applyBorder="1" applyAlignment="1">
      <alignment horizontal="center" vertical="center"/>
    </xf>
    <xf numFmtId="0" fontId="11" fillId="9" borderId="0" xfId="0" applyFont="1" applyFill="1" applyBorder="1" applyAlignment="1">
      <alignment horizontal="center" vertical="center"/>
    </xf>
    <xf numFmtId="0" fontId="11" fillId="9" borderId="9" xfId="0" applyFont="1" applyFill="1" applyBorder="1" applyAlignment="1">
      <alignment horizontal="center" vertical="center"/>
    </xf>
    <xf numFmtId="0" fontId="7" fillId="6" borderId="2" xfId="0" applyFont="1" applyFill="1" applyBorder="1" applyAlignment="1">
      <alignment horizontal="left" vertical="center"/>
    </xf>
    <xf numFmtId="0" fontId="7" fillId="6" borderId="3" xfId="0" applyFont="1" applyFill="1" applyBorder="1" applyAlignment="1">
      <alignment horizontal="left" vertical="center"/>
    </xf>
    <xf numFmtId="0" fontId="7" fillId="6" borderId="4" xfId="0" applyFont="1" applyFill="1" applyBorder="1" applyAlignment="1">
      <alignment horizontal="left" vertical="center"/>
    </xf>
    <xf numFmtId="0" fontId="4" fillId="8" borderId="0" xfId="0" applyFont="1" applyFill="1" applyBorder="1" applyAlignment="1">
      <alignment horizontal="center" vertical="center"/>
    </xf>
    <xf numFmtId="0" fontId="4" fillId="8" borderId="9" xfId="0" applyFont="1" applyFill="1" applyBorder="1" applyAlignment="1">
      <alignment horizontal="center" vertical="center"/>
    </xf>
    <xf numFmtId="0" fontId="3" fillId="8" borderId="8" xfId="0" applyFont="1" applyFill="1" applyBorder="1" applyAlignment="1">
      <alignment horizontal="center" vertical="center"/>
    </xf>
    <xf numFmtId="0" fontId="3" fillId="8" borderId="9" xfId="0" applyFont="1" applyFill="1" applyBorder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7" fillId="6" borderId="0" xfId="0" applyFont="1" applyFill="1" applyBorder="1" applyAlignment="1">
      <alignment horizontal="center" vertical="center"/>
    </xf>
    <xf numFmtId="0" fontId="7" fillId="6" borderId="9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6" borderId="7" xfId="0" applyFont="1" applyFill="1" applyBorder="1" applyAlignment="1">
      <alignment horizontal="center" vertical="center"/>
    </xf>
    <xf numFmtId="0" fontId="14" fillId="9" borderId="2" xfId="0" applyFont="1" applyFill="1" applyBorder="1" applyAlignment="1">
      <alignment horizontal="center" vertical="center"/>
    </xf>
    <xf numFmtId="0" fontId="14" fillId="9" borderId="4" xfId="0" applyFont="1" applyFill="1" applyBorder="1" applyAlignment="1">
      <alignment horizontal="center" vertical="center"/>
    </xf>
    <xf numFmtId="0" fontId="0" fillId="13" borderId="0" xfId="0" applyFill="1" applyBorder="1"/>
    <xf numFmtId="164" fontId="0" fillId="13" borderId="1" xfId="1" applyFont="1" applyFill="1" applyBorder="1"/>
    <xf numFmtId="0" fontId="0" fillId="13" borderId="14" xfId="0" applyFill="1" applyBorder="1" applyAlignment="1">
      <alignment horizontal="right"/>
    </xf>
    <xf numFmtId="0" fontId="0" fillId="13" borderId="15" xfId="0" applyFill="1" applyBorder="1" applyAlignment="1">
      <alignment horizontal="right"/>
    </xf>
    <xf numFmtId="0" fontId="0" fillId="13" borderId="15" xfId="0" applyFill="1" applyBorder="1"/>
    <xf numFmtId="0" fontId="0" fillId="13" borderId="2" xfId="0" quotePrefix="1" applyFill="1" applyBorder="1" applyAlignment="1">
      <alignment horizontal="right"/>
    </xf>
    <xf numFmtId="164" fontId="0" fillId="13" borderId="4" xfId="1" applyFont="1" applyFill="1" applyBorder="1"/>
    <xf numFmtId="0" fontId="0" fillId="13" borderId="8" xfId="0" quotePrefix="1" applyFill="1" applyBorder="1" applyAlignment="1">
      <alignment horizontal="right"/>
    </xf>
    <xf numFmtId="164" fontId="0" fillId="13" borderId="9" xfId="1" applyFont="1" applyFill="1" applyBorder="1"/>
    <xf numFmtId="0" fontId="0" fillId="13" borderId="7" xfId="0" applyFill="1" applyBorder="1"/>
    <xf numFmtId="0" fontId="0" fillId="14" borderId="16" xfId="0" applyFill="1" applyBorder="1"/>
    <xf numFmtId="0" fontId="0" fillId="3" borderId="1" xfId="0" applyFill="1" applyBorder="1"/>
    <xf numFmtId="0" fontId="0" fillId="13" borderId="9" xfId="0" applyFill="1" applyBorder="1"/>
    <xf numFmtId="0" fontId="0" fillId="13" borderId="6" xfId="0" applyFill="1" applyBorder="1"/>
    <xf numFmtId="0" fontId="0" fillId="3" borderId="0" xfId="0" quotePrefix="1" applyFill="1" applyAlignment="1">
      <alignment horizontal="right"/>
    </xf>
    <xf numFmtId="0" fontId="0" fillId="0" borderId="0" xfId="0" applyFill="1"/>
    <xf numFmtId="0" fontId="0" fillId="0" borderId="0" xfId="0" applyFill="1" applyAlignment="1">
      <alignment horizontal="right"/>
    </xf>
    <xf numFmtId="0" fontId="0" fillId="0" borderId="2" xfId="0" applyFill="1" applyBorder="1"/>
    <xf numFmtId="0" fontId="0" fillId="0" borderId="3" xfId="0" applyFill="1" applyBorder="1"/>
    <xf numFmtId="164" fontId="0" fillId="0" borderId="0" xfId="1" applyFont="1" applyFill="1" applyBorder="1"/>
    <xf numFmtId="164" fontId="0" fillId="0" borderId="0" xfId="0" applyNumberFormat="1" applyFill="1" applyBorder="1"/>
    <xf numFmtId="168" fontId="0" fillId="0" borderId="9" xfId="0" applyNumberFormat="1" applyFill="1" applyBorder="1"/>
    <xf numFmtId="164" fontId="0" fillId="0" borderId="9" xfId="1" applyFont="1" applyFill="1" applyBorder="1"/>
    <xf numFmtId="0" fontId="0" fillId="0" borderId="8" xfId="0" applyFill="1" applyBorder="1" applyAlignment="1">
      <alignment horizontal="right"/>
    </xf>
    <xf numFmtId="0" fontId="0" fillId="0" borderId="3" xfId="0" applyFill="1" applyBorder="1" applyAlignment="1">
      <alignment horizontal="right"/>
    </xf>
    <xf numFmtId="0" fontId="0" fillId="0" borderId="3" xfId="0" quotePrefix="1" applyFill="1" applyBorder="1" applyAlignment="1">
      <alignment horizontal="right"/>
    </xf>
    <xf numFmtId="16" fontId="0" fillId="0" borderId="3" xfId="0" quotePrefix="1" applyNumberFormat="1" applyFill="1" applyBorder="1" applyAlignment="1">
      <alignment horizontal="right"/>
    </xf>
    <xf numFmtId="168" fontId="0" fillId="0" borderId="4" xfId="0" quotePrefix="1" applyNumberFormat="1" applyFill="1" applyBorder="1" applyAlignment="1">
      <alignment horizontal="right"/>
    </xf>
    <xf numFmtId="0" fontId="3" fillId="0" borderId="8" xfId="0" applyFont="1" applyFill="1" applyBorder="1" applyAlignment="1">
      <alignment horizontal="right"/>
    </xf>
    <xf numFmtId="0" fontId="3" fillId="0" borderId="5" xfId="0" applyFont="1" applyFill="1" applyBorder="1" applyAlignment="1">
      <alignment horizontal="right"/>
    </xf>
    <xf numFmtId="0" fontId="0" fillId="0" borderId="6" xfId="0" applyFill="1" applyBorder="1" applyAlignment="1">
      <alignment horizontal="right"/>
    </xf>
    <xf numFmtId="164" fontId="0" fillId="0" borderId="6" xfId="1" applyFont="1" applyFill="1" applyBorder="1"/>
    <xf numFmtId="164" fontId="0" fillId="0" borderId="6" xfId="0" applyNumberFormat="1" applyFill="1" applyBorder="1"/>
    <xf numFmtId="164" fontId="0" fillId="0" borderId="7" xfId="1" applyFont="1" applyFill="1" applyBorder="1"/>
    <xf numFmtId="0" fontId="0" fillId="13" borderId="5" xfId="0" applyFill="1" applyBorder="1" applyAlignment="1">
      <alignment horizontal="right"/>
    </xf>
    <xf numFmtId="164" fontId="2" fillId="2" borderId="12" xfId="1" applyFont="1" applyFill="1" applyBorder="1"/>
    <xf numFmtId="0" fontId="0" fillId="7" borderId="8" xfId="0" applyFill="1" applyBorder="1" applyAlignment="1">
      <alignment horizontal="center"/>
    </xf>
    <xf numFmtId="0" fontId="0" fillId="7" borderId="5" xfId="0" applyFill="1" applyBorder="1" applyAlignment="1">
      <alignment horizontal="center"/>
    </xf>
    <xf numFmtId="0" fontId="7" fillId="2" borderId="5" xfId="0" applyFont="1" applyFill="1" applyBorder="1" applyAlignment="1">
      <alignment horizontal="center"/>
    </xf>
  </cellXfs>
  <cellStyles count="4">
    <cellStyle name="Comma" xfId="1" builtinId="3"/>
    <cellStyle name="Hyperlink" xfId="3" builtinId="8"/>
    <cellStyle name="Normal" xfId="0" builtinId="0"/>
    <cellStyle name="Percent" xfId="2" builtinId="5"/>
  </cellStyles>
  <dxfs count="0"/>
  <tableStyles count="0" defaultTableStyle="TableStyleMedium9" defaultPivotStyle="PivotStyleLight16"/>
  <colors>
    <mruColors>
      <color rgb="FFFF9966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001829794040869E-2"/>
          <c:y val="0.12535019015238189"/>
          <c:w val="0.88437606884291209"/>
          <c:h val="0.82416839237677653"/>
        </c:manualLayout>
      </c:layout>
      <c:bubbleChart>
        <c:varyColors val="0"/>
        <c:ser>
          <c:idx val="0"/>
          <c:order val="0"/>
          <c:tx>
            <c:strRef>
              <c:f>'5 brands calc'!$S$19</c:f>
              <c:strCache>
                <c:ptCount val="1"/>
                <c:pt idx="0">
                  <c:v>Coke</c:v>
                </c:pt>
              </c:strCache>
            </c:strRef>
          </c:tx>
          <c:invertIfNegative val="0"/>
          <c:dLbls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'5 brands calc'!$Q$19</c:f>
              <c:numCache>
                <c:formatCode>_(* #,##0.00_);_(* \(#,##0.00\);_(* "-"??_);_(@_)</c:formatCode>
                <c:ptCount val="1"/>
                <c:pt idx="0">
                  <c:v>4.4999000000000002</c:v>
                </c:pt>
              </c:numCache>
            </c:numRef>
          </c:xVal>
          <c:yVal>
            <c:numRef>
              <c:f>'5 brands calc'!$R$19</c:f>
              <c:numCache>
                <c:formatCode>_(* #,##0.00_);_(* \(#,##0.00\);_(* "-"??_);_(@_)</c:formatCode>
                <c:ptCount val="1"/>
                <c:pt idx="0">
                  <c:v>7.4999000000000002</c:v>
                </c:pt>
              </c:numCache>
            </c:numRef>
          </c:yVal>
          <c:bubbleSize>
            <c:numRef>
              <c:f>'5 brands calc'!$O$19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</c:ser>
        <c:ser>
          <c:idx val="1"/>
          <c:order val="1"/>
          <c:tx>
            <c:strRef>
              <c:f>'5 brands calc'!$S$20</c:f>
              <c:strCache>
                <c:ptCount val="1"/>
                <c:pt idx="0">
                  <c:v>Pepsi</c:v>
                </c:pt>
              </c:strCache>
            </c:strRef>
          </c:tx>
          <c:invertIfNegative val="0"/>
          <c:dPt>
            <c:idx val="0"/>
            <c:invertIfNegative val="0"/>
            <c:bubble3D val="0"/>
          </c:dPt>
          <c:dLbls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'5 brands calc'!$Q$20</c:f>
              <c:numCache>
                <c:formatCode>_(* #,##0.00_);_(* \(#,##0.00\);_(* "-"??_);_(@_)</c:formatCode>
                <c:ptCount val="1"/>
                <c:pt idx="0">
                  <c:v>4.5</c:v>
                </c:pt>
              </c:numCache>
            </c:numRef>
          </c:xVal>
          <c:yVal>
            <c:numRef>
              <c:f>'5 brands calc'!$R$20</c:f>
              <c:numCache>
                <c:formatCode>_(* #,##0.00_);_(* \(#,##0.00\);_(* "-"??_);_(@_)</c:formatCode>
                <c:ptCount val="1"/>
                <c:pt idx="0">
                  <c:v>4.5</c:v>
                </c:pt>
              </c:numCache>
            </c:numRef>
          </c:yVal>
          <c:bubbleSize>
            <c:numRef>
              <c:f>'5 brands calc'!$O$20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</c:ser>
        <c:ser>
          <c:idx val="2"/>
          <c:order val="2"/>
          <c:tx>
            <c:strRef>
              <c:f>'5 brands calc'!$S$21</c:f>
              <c:strCache>
                <c:ptCount val="1"/>
                <c:pt idx="0">
                  <c:v>Mt Dew</c:v>
                </c:pt>
              </c:strCache>
            </c:strRef>
          </c:tx>
          <c:invertIfNegative val="0"/>
          <c:dPt>
            <c:idx val="0"/>
            <c:invertIfNegative val="0"/>
            <c:bubble3D val="0"/>
          </c:dPt>
          <c:dLbls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'5 brands calc'!$Q$21</c:f>
              <c:numCache>
                <c:formatCode>_(* #,##0.00_);_(* \(#,##0.00\);_(* "-"??_);_(@_)</c:formatCode>
                <c:ptCount val="1"/>
                <c:pt idx="0">
                  <c:v>6.5000999999999998</c:v>
                </c:pt>
              </c:numCache>
            </c:numRef>
          </c:xVal>
          <c:yVal>
            <c:numRef>
              <c:f>'5 brands calc'!$R$21</c:f>
              <c:numCache>
                <c:formatCode>_(* #,##0.00_);_(* \(#,##0.00\);_(* "-"??_);_(@_)</c:formatCode>
                <c:ptCount val="1"/>
                <c:pt idx="0">
                  <c:v>3.5001000000000002</c:v>
                </c:pt>
              </c:numCache>
            </c:numRef>
          </c:yVal>
          <c:bubbleSize>
            <c:numRef>
              <c:f>'5 brands calc'!$O$21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</c:ser>
        <c:ser>
          <c:idx val="8"/>
          <c:order val="3"/>
          <c:tx>
            <c:strRef>
              <c:f>'5 brands calc'!$S$22</c:f>
              <c:strCache>
                <c:ptCount val="1"/>
                <c:pt idx="0">
                  <c:v>7 Up</c:v>
                </c:pt>
              </c:strCache>
            </c:strRef>
          </c:tx>
          <c:invertIfNegative val="0"/>
          <c:dLbls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'5 brands calc'!$Q$22</c:f>
              <c:numCache>
                <c:formatCode>_(* #,##0.00_);_(* \(#,##0.00\);_(* "-"??_);_(@_)</c:formatCode>
                <c:ptCount val="1"/>
                <c:pt idx="0">
                  <c:v>5</c:v>
                </c:pt>
              </c:numCache>
            </c:numRef>
          </c:xVal>
          <c:yVal>
            <c:numRef>
              <c:f>'5 brands calc'!$R$22</c:f>
              <c:numCache>
                <c:formatCode>_(* #,##0.00_);_(* \(#,##0.00\);_(* "-"??_);_(@_)</c:formatCode>
                <c:ptCount val="1"/>
                <c:pt idx="0">
                  <c:v>5</c:v>
                </c:pt>
              </c:numCache>
            </c:numRef>
          </c:yVal>
          <c:bubbleSize>
            <c:numRef>
              <c:f>'5 brands calc'!$O$22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</c:ser>
        <c:ser>
          <c:idx val="3"/>
          <c:order val="4"/>
          <c:tx>
            <c:strRef>
              <c:f>'5 brands calc'!$S$23</c:f>
              <c:strCache>
                <c:ptCount val="1"/>
                <c:pt idx="0">
                  <c:v>Fanta</c:v>
                </c:pt>
              </c:strCache>
            </c:strRef>
          </c:tx>
          <c:invertIfNegative val="0"/>
          <c:dLbls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'5 brands calc'!$Q$23</c:f>
              <c:numCache>
                <c:formatCode>_(* #,##0.00_);_(* \(#,##0.00\);_(* "-"??_);_(@_)</c:formatCode>
                <c:ptCount val="1"/>
                <c:pt idx="0">
                  <c:v>2</c:v>
                </c:pt>
              </c:numCache>
            </c:numRef>
          </c:xVal>
          <c:yVal>
            <c:numRef>
              <c:f>'5 brands calc'!$R$23</c:f>
              <c:numCache>
                <c:formatCode>_(* #,##0.00_);_(* \(#,##0.00\);_(* "-"??_);_(@_)</c:formatCode>
                <c:ptCount val="1"/>
                <c:pt idx="0">
                  <c:v>2</c:v>
                </c:pt>
              </c:numCache>
            </c:numRef>
          </c:yVal>
          <c:bubbleSize>
            <c:numRef>
              <c:f>'5 brands calc'!$O$23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bubbleScale val="50"/>
        <c:showNegBubbles val="0"/>
        <c:axId val="83725696"/>
        <c:axId val="85378176"/>
      </c:bubbleChart>
      <c:valAx>
        <c:axId val="83725696"/>
        <c:scaling>
          <c:orientation val="minMax"/>
        </c:scaling>
        <c:delete val="1"/>
        <c:axPos val="b"/>
        <c:numFmt formatCode="_(* #,##0.00_);_(* \(#,##0.00\);_(* &quot;-&quot;??_);_(@_)" sourceLinked="1"/>
        <c:majorTickMark val="none"/>
        <c:minorTickMark val="none"/>
        <c:tickLblPos val="none"/>
        <c:crossAx val="85378176"/>
        <c:crosses val="autoZero"/>
        <c:crossBetween val="midCat"/>
      </c:valAx>
      <c:valAx>
        <c:axId val="85378176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one"/>
        <c:crossAx val="83725696"/>
        <c:crossesAt val="5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001829794040869E-2"/>
          <c:y val="0.12535019015238189"/>
          <c:w val="0.88437606884291209"/>
          <c:h val="0.82416839237677653"/>
        </c:manualLayout>
      </c:layout>
      <c:bubbleChart>
        <c:varyColors val="0"/>
        <c:ser>
          <c:idx val="0"/>
          <c:order val="0"/>
          <c:tx>
            <c:strRef>
              <c:f>'6 brands calc'!$S$19</c:f>
              <c:strCache>
                <c:ptCount val="1"/>
                <c:pt idx="0">
                  <c:v>Coke</c:v>
                </c:pt>
              </c:strCache>
            </c:strRef>
          </c:tx>
          <c:invertIfNegative val="0"/>
          <c:dLbls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'6 brands calc'!$Q$19</c:f>
              <c:numCache>
                <c:formatCode>_(* #,##0.00_);_(* \(#,##0.00\);_(* "-"??_);_(@_)</c:formatCode>
                <c:ptCount val="1"/>
                <c:pt idx="0">
                  <c:v>4.5</c:v>
                </c:pt>
              </c:numCache>
            </c:numRef>
          </c:xVal>
          <c:yVal>
            <c:numRef>
              <c:f>'6 brands calc'!$R$19</c:f>
              <c:numCache>
                <c:formatCode>_(* #,##0.00_);_(* \(#,##0.00\);_(* "-"??_);_(@_)</c:formatCode>
                <c:ptCount val="1"/>
                <c:pt idx="0">
                  <c:v>4.5</c:v>
                </c:pt>
              </c:numCache>
            </c:numRef>
          </c:yVal>
          <c:bubbleSize>
            <c:numRef>
              <c:f>'6 brands calc'!$O$19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</c:ser>
        <c:ser>
          <c:idx val="1"/>
          <c:order val="1"/>
          <c:tx>
            <c:strRef>
              <c:f>'6 brands calc'!$S$20</c:f>
              <c:strCache>
                <c:ptCount val="1"/>
                <c:pt idx="0">
                  <c:v>Pepsi</c:v>
                </c:pt>
              </c:strCache>
            </c:strRef>
          </c:tx>
          <c:invertIfNegative val="0"/>
          <c:dPt>
            <c:idx val="0"/>
            <c:invertIfNegative val="0"/>
            <c:bubble3D val="0"/>
          </c:dPt>
          <c:dLbls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'6 brands calc'!$Q$20</c:f>
              <c:numCache>
                <c:formatCode>_(* #,##0.00_);_(* \(#,##0.00\);_(* "-"??_);_(@_)</c:formatCode>
                <c:ptCount val="1"/>
                <c:pt idx="0">
                  <c:v>4.4999000000000002</c:v>
                </c:pt>
              </c:numCache>
            </c:numRef>
          </c:xVal>
          <c:yVal>
            <c:numRef>
              <c:f>'6 brands calc'!$R$20</c:f>
              <c:numCache>
                <c:formatCode>_(* #,##0.00_);_(* \(#,##0.00\);_(* "-"??_);_(@_)</c:formatCode>
                <c:ptCount val="1"/>
                <c:pt idx="0">
                  <c:v>7.4999000000000002</c:v>
                </c:pt>
              </c:numCache>
            </c:numRef>
          </c:yVal>
          <c:bubbleSize>
            <c:numRef>
              <c:f>'6 brands calc'!$O$20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</c:ser>
        <c:ser>
          <c:idx val="2"/>
          <c:order val="2"/>
          <c:tx>
            <c:strRef>
              <c:f>'6 brands calc'!$S$21</c:f>
              <c:strCache>
                <c:ptCount val="1"/>
                <c:pt idx="0">
                  <c:v>Mt Dew</c:v>
                </c:pt>
              </c:strCache>
            </c:strRef>
          </c:tx>
          <c:invertIfNegative val="0"/>
          <c:dPt>
            <c:idx val="0"/>
            <c:invertIfNegative val="0"/>
            <c:bubble3D val="0"/>
          </c:dPt>
          <c:dLbls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'6 brands calc'!$Q$21</c:f>
              <c:numCache>
                <c:formatCode>_(* #,##0.00_);_(* \(#,##0.00\);_(* "-"??_);_(@_)</c:formatCode>
                <c:ptCount val="1"/>
                <c:pt idx="0">
                  <c:v>4.5</c:v>
                </c:pt>
              </c:numCache>
            </c:numRef>
          </c:xVal>
          <c:yVal>
            <c:numRef>
              <c:f>'6 brands calc'!$R$21</c:f>
              <c:numCache>
                <c:formatCode>_(* #,##0.00_);_(* \(#,##0.00\);_(* "-"??_);_(@_)</c:formatCode>
                <c:ptCount val="1"/>
                <c:pt idx="0">
                  <c:v>4.5</c:v>
                </c:pt>
              </c:numCache>
            </c:numRef>
          </c:yVal>
          <c:bubbleSize>
            <c:numRef>
              <c:f>'6 brands calc'!$O$21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</c:ser>
        <c:ser>
          <c:idx val="8"/>
          <c:order val="3"/>
          <c:tx>
            <c:strRef>
              <c:f>'6 brands calc'!$S$22</c:f>
              <c:strCache>
                <c:ptCount val="1"/>
                <c:pt idx="0">
                  <c:v>7 Up</c:v>
                </c:pt>
              </c:strCache>
            </c:strRef>
          </c:tx>
          <c:invertIfNegative val="0"/>
          <c:dLbls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'6 brands calc'!$Q$22</c:f>
              <c:numCache>
                <c:formatCode>_(* #,##0.00_);_(* \(#,##0.00\);_(* "-"??_);_(@_)</c:formatCode>
                <c:ptCount val="1"/>
                <c:pt idx="0">
                  <c:v>6.5000999999999998</c:v>
                </c:pt>
              </c:numCache>
            </c:numRef>
          </c:xVal>
          <c:yVal>
            <c:numRef>
              <c:f>'6 brands calc'!$R$22</c:f>
              <c:numCache>
                <c:formatCode>_(* #,##0.00_);_(* \(#,##0.00\);_(* "-"??_);_(@_)</c:formatCode>
                <c:ptCount val="1"/>
                <c:pt idx="0">
                  <c:v>3.5001000000000002</c:v>
                </c:pt>
              </c:numCache>
            </c:numRef>
          </c:yVal>
          <c:bubbleSize>
            <c:numRef>
              <c:f>'6 brands calc'!$O$22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</c:ser>
        <c:ser>
          <c:idx val="3"/>
          <c:order val="4"/>
          <c:tx>
            <c:strRef>
              <c:f>'6 brands calc'!$S$23</c:f>
              <c:strCache>
                <c:ptCount val="1"/>
                <c:pt idx="0">
                  <c:v>Fanta</c:v>
                </c:pt>
              </c:strCache>
            </c:strRef>
          </c:tx>
          <c:invertIfNegative val="0"/>
          <c:dLbls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'6 brands calc'!$Q$23</c:f>
              <c:numCache>
                <c:formatCode>_(* #,##0.00_);_(* \(#,##0.00\);_(* "-"??_);_(@_)</c:formatCode>
                <c:ptCount val="1"/>
                <c:pt idx="0">
                  <c:v>5</c:v>
                </c:pt>
              </c:numCache>
            </c:numRef>
          </c:xVal>
          <c:yVal>
            <c:numRef>
              <c:f>'6 brands calc'!$R$23</c:f>
              <c:numCache>
                <c:formatCode>_(* #,##0.00_);_(* \(#,##0.00\);_(* "-"??_);_(@_)</c:formatCode>
                <c:ptCount val="1"/>
                <c:pt idx="0">
                  <c:v>5</c:v>
                </c:pt>
              </c:numCache>
            </c:numRef>
          </c:yVal>
          <c:bubbleSize>
            <c:numRef>
              <c:f>'6 brands calc'!$O$23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</c:ser>
        <c:ser>
          <c:idx val="5"/>
          <c:order val="5"/>
          <c:tx>
            <c:strRef>
              <c:f>'6 brands calc'!$S$24</c:f>
              <c:strCache>
                <c:ptCount val="1"/>
                <c:pt idx="0">
                  <c:v>Coke Zero</c:v>
                </c:pt>
              </c:strCache>
            </c:strRef>
          </c:tx>
          <c:invertIfNegative val="0"/>
          <c:dPt>
            <c:idx val="0"/>
            <c:invertIfNegative val="0"/>
            <c:bubble3D val="0"/>
          </c:dPt>
          <c:dLbls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'6 brands calc'!$Q$24</c:f>
              <c:numCache>
                <c:formatCode>_(* #,##0.00_);_(* \(#,##0.00\);_(* "-"??_);_(@_)</c:formatCode>
                <c:ptCount val="1"/>
                <c:pt idx="0">
                  <c:v>2</c:v>
                </c:pt>
              </c:numCache>
            </c:numRef>
          </c:xVal>
          <c:yVal>
            <c:numRef>
              <c:f>'6 brands calc'!$R$24</c:f>
              <c:numCache>
                <c:formatCode>_(* #,##0.00_);_(* \(#,##0.00\);_(* "-"??_);_(@_)</c:formatCode>
                <c:ptCount val="1"/>
                <c:pt idx="0">
                  <c:v>2</c:v>
                </c:pt>
              </c:numCache>
            </c:numRef>
          </c:yVal>
          <c:bubbleSize>
            <c:numRef>
              <c:f>'6 brands calc'!$O$24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bubbleScale val="50"/>
        <c:showNegBubbles val="0"/>
        <c:axId val="83310464"/>
        <c:axId val="83312000"/>
      </c:bubbleChart>
      <c:valAx>
        <c:axId val="83310464"/>
        <c:scaling>
          <c:orientation val="minMax"/>
        </c:scaling>
        <c:delete val="1"/>
        <c:axPos val="b"/>
        <c:numFmt formatCode="_(* #,##0.00_);_(* \(#,##0.00\);_(* &quot;-&quot;??_);_(@_)" sourceLinked="1"/>
        <c:majorTickMark val="none"/>
        <c:minorTickMark val="none"/>
        <c:tickLblPos val="none"/>
        <c:crossAx val="83312000"/>
        <c:crosses val="autoZero"/>
        <c:crossBetween val="midCat"/>
      </c:valAx>
      <c:valAx>
        <c:axId val="83312000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one"/>
        <c:crossAx val="83310464"/>
        <c:crossesAt val="5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001829794040869E-2"/>
          <c:y val="0.12535019015238189"/>
          <c:w val="0.88437606884291209"/>
          <c:h val="0.82416839237677653"/>
        </c:manualLayout>
      </c:layout>
      <c:bubbleChart>
        <c:varyColors val="0"/>
        <c:ser>
          <c:idx val="0"/>
          <c:order val="0"/>
          <c:tx>
            <c:strRef>
              <c:f>'OS Perceptual Map'!$C$26</c:f>
              <c:strCache>
                <c:ptCount val="1"/>
                <c:pt idx="0">
                  <c:v>Coke</c:v>
                </c:pt>
              </c:strCache>
            </c:strRef>
          </c:tx>
          <c:invertIfNegative val="0"/>
          <c:dLbls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'OS Perceptual Map'!$E$26</c:f>
              <c:numCache>
                <c:formatCode>0.00</c:formatCode>
                <c:ptCount val="1"/>
                <c:pt idx="0">
                  <c:v>4.5</c:v>
                </c:pt>
              </c:numCache>
            </c:numRef>
          </c:xVal>
          <c:yVal>
            <c:numRef>
              <c:f>'OS Perceptual Map'!$G$26</c:f>
              <c:numCache>
                <c:formatCode>0.00</c:formatCode>
                <c:ptCount val="1"/>
                <c:pt idx="0">
                  <c:v>4.5</c:v>
                </c:pt>
              </c:numCache>
            </c:numRef>
          </c:yVal>
          <c:bubbleSize>
            <c:numRef>
              <c:f>'OS Perceptual Map'!$I$26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</c:ser>
        <c:ser>
          <c:idx val="1"/>
          <c:order val="1"/>
          <c:tx>
            <c:strRef>
              <c:f>'OS Perceptual Map'!$C$27</c:f>
              <c:strCache>
                <c:ptCount val="1"/>
                <c:pt idx="0">
                  <c:v>Pepsi</c:v>
                </c:pt>
              </c:strCache>
            </c:strRef>
          </c:tx>
          <c:invertIfNegative val="0"/>
          <c:dPt>
            <c:idx val="0"/>
            <c:invertIfNegative val="0"/>
            <c:bubble3D val="0"/>
          </c:dPt>
          <c:dLbls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'OS Perceptual Map'!$E$27</c:f>
              <c:numCache>
                <c:formatCode>0.00</c:formatCode>
                <c:ptCount val="1"/>
                <c:pt idx="0">
                  <c:v>4.5</c:v>
                </c:pt>
              </c:numCache>
            </c:numRef>
          </c:xVal>
          <c:yVal>
            <c:numRef>
              <c:f>'OS Perceptual Map'!$G$27</c:f>
              <c:numCache>
                <c:formatCode>0.00</c:formatCode>
                <c:ptCount val="1"/>
                <c:pt idx="0">
                  <c:v>4.5</c:v>
                </c:pt>
              </c:numCache>
            </c:numRef>
          </c:yVal>
          <c:bubbleSize>
            <c:numRef>
              <c:f>'OS Perceptual Map'!$I$27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</c:ser>
        <c:ser>
          <c:idx val="2"/>
          <c:order val="2"/>
          <c:tx>
            <c:strRef>
              <c:f>'OS Perceptual Map'!$C$28</c:f>
              <c:strCache>
                <c:ptCount val="1"/>
                <c:pt idx="0">
                  <c:v>Mt Dew</c:v>
                </c:pt>
              </c:strCache>
            </c:strRef>
          </c:tx>
          <c:invertIfNegative val="0"/>
          <c:dPt>
            <c:idx val="0"/>
            <c:invertIfNegative val="0"/>
            <c:bubble3D val="0"/>
          </c:dPt>
          <c:dLbls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'OS Perceptual Map'!$E$28</c:f>
              <c:numCache>
                <c:formatCode>0.00</c:formatCode>
                <c:ptCount val="1"/>
                <c:pt idx="0">
                  <c:v>4.4999000000000002</c:v>
                </c:pt>
              </c:numCache>
            </c:numRef>
          </c:xVal>
          <c:yVal>
            <c:numRef>
              <c:f>'OS Perceptual Map'!$G$28</c:f>
              <c:numCache>
                <c:formatCode>0.00</c:formatCode>
                <c:ptCount val="1"/>
                <c:pt idx="0">
                  <c:v>7.4999000000000002</c:v>
                </c:pt>
              </c:numCache>
            </c:numRef>
          </c:yVal>
          <c:bubbleSize>
            <c:numRef>
              <c:f>'OS Perceptual Map'!$I$28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</c:ser>
        <c:ser>
          <c:idx val="8"/>
          <c:order val="3"/>
          <c:tx>
            <c:strRef>
              <c:f>'OS Perceptual Map'!$C$29</c:f>
              <c:strCache>
                <c:ptCount val="1"/>
                <c:pt idx="0">
                  <c:v>7 Up</c:v>
                </c:pt>
              </c:strCache>
            </c:strRef>
          </c:tx>
          <c:invertIfNegative val="0"/>
          <c:dLbls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'OS Perceptual Map'!$E$29</c:f>
              <c:numCache>
                <c:formatCode>0.00</c:formatCode>
                <c:ptCount val="1"/>
                <c:pt idx="0">
                  <c:v>4.5</c:v>
                </c:pt>
              </c:numCache>
            </c:numRef>
          </c:xVal>
          <c:yVal>
            <c:numRef>
              <c:f>'OS Perceptual Map'!$G$29</c:f>
              <c:numCache>
                <c:formatCode>0.00</c:formatCode>
                <c:ptCount val="1"/>
                <c:pt idx="0">
                  <c:v>4.5</c:v>
                </c:pt>
              </c:numCache>
            </c:numRef>
          </c:yVal>
          <c:bubbleSize>
            <c:numRef>
              <c:f>'OS Perceptual Map'!$I$29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</c:ser>
        <c:ser>
          <c:idx val="3"/>
          <c:order val="4"/>
          <c:tx>
            <c:strRef>
              <c:f>'OS Perceptual Map'!$C$30</c:f>
              <c:strCache>
                <c:ptCount val="1"/>
                <c:pt idx="0">
                  <c:v>Fanta</c:v>
                </c:pt>
              </c:strCache>
            </c:strRef>
          </c:tx>
          <c:invertIfNegative val="0"/>
          <c:dLbls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'OS Perceptual Map'!$E$30</c:f>
              <c:numCache>
                <c:formatCode>0.00</c:formatCode>
                <c:ptCount val="1"/>
                <c:pt idx="0">
                  <c:v>6.5000999999999998</c:v>
                </c:pt>
              </c:numCache>
            </c:numRef>
          </c:xVal>
          <c:yVal>
            <c:numRef>
              <c:f>'OS Perceptual Map'!$G$30</c:f>
              <c:numCache>
                <c:formatCode>0.00</c:formatCode>
                <c:ptCount val="1"/>
                <c:pt idx="0">
                  <c:v>3.5001000000000002</c:v>
                </c:pt>
              </c:numCache>
            </c:numRef>
          </c:yVal>
          <c:bubbleSize>
            <c:numRef>
              <c:f>'OS Perceptual Map'!$I$30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</c:ser>
        <c:ser>
          <c:idx val="5"/>
          <c:order val="5"/>
          <c:tx>
            <c:strRef>
              <c:f>'OS Perceptual Map'!$C$31</c:f>
              <c:strCache>
                <c:ptCount val="1"/>
                <c:pt idx="0">
                  <c:v>Coke Zero</c:v>
                </c:pt>
              </c:strCache>
            </c:strRef>
          </c:tx>
          <c:invertIfNegative val="0"/>
          <c:dPt>
            <c:idx val="0"/>
            <c:invertIfNegative val="0"/>
            <c:bubble3D val="0"/>
          </c:dPt>
          <c:dLbls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'OS Perceptual Map'!$E$31</c:f>
              <c:numCache>
                <c:formatCode>0.00</c:formatCode>
                <c:ptCount val="1"/>
                <c:pt idx="0">
                  <c:v>5</c:v>
                </c:pt>
              </c:numCache>
            </c:numRef>
          </c:xVal>
          <c:yVal>
            <c:numRef>
              <c:f>'OS Perceptual Map'!$G$31</c:f>
              <c:numCache>
                <c:formatCode>0.00</c:formatCode>
                <c:ptCount val="1"/>
                <c:pt idx="0">
                  <c:v>5</c:v>
                </c:pt>
              </c:numCache>
            </c:numRef>
          </c:yVal>
          <c:bubbleSize>
            <c:numRef>
              <c:f>'OS Perceptual Map'!$I$31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</c:ser>
        <c:ser>
          <c:idx val="6"/>
          <c:order val="6"/>
          <c:tx>
            <c:strRef>
              <c:f>'OS Perceptual Map'!$C$32</c:f>
              <c:strCache>
                <c:ptCount val="1"/>
                <c:pt idx="0">
                  <c:v>Diet Coke</c:v>
                </c:pt>
              </c:strCache>
            </c:strRef>
          </c:tx>
          <c:invertIfNegative val="0"/>
          <c:dLbls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'OS Perceptual Map'!$E$32</c:f>
              <c:numCache>
                <c:formatCode>0.00</c:formatCode>
                <c:ptCount val="1"/>
                <c:pt idx="0">
                  <c:v>2</c:v>
                </c:pt>
              </c:numCache>
            </c:numRef>
          </c:xVal>
          <c:yVal>
            <c:numRef>
              <c:f>'OS Perceptual Map'!$G$32</c:f>
              <c:numCache>
                <c:formatCode>0.00</c:formatCode>
                <c:ptCount val="1"/>
                <c:pt idx="0">
                  <c:v>2</c:v>
                </c:pt>
              </c:numCache>
            </c:numRef>
          </c:yVal>
          <c:bubbleSize>
            <c:numRef>
              <c:f>'OS Perceptual Map'!$I$32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bubbleScale val="50"/>
        <c:showNegBubbles val="0"/>
        <c:axId val="83542784"/>
        <c:axId val="83544320"/>
      </c:bubbleChart>
      <c:valAx>
        <c:axId val="83542784"/>
        <c:scaling>
          <c:orientation val="minMax"/>
        </c:scaling>
        <c:delete val="1"/>
        <c:axPos val="b"/>
        <c:numFmt formatCode="0.00" sourceLinked="1"/>
        <c:majorTickMark val="none"/>
        <c:minorTickMark val="none"/>
        <c:tickLblPos val="none"/>
        <c:crossAx val="83544320"/>
        <c:crosses val="autoZero"/>
        <c:crossBetween val="midCat"/>
      </c:valAx>
      <c:valAx>
        <c:axId val="83544320"/>
        <c:scaling>
          <c:orientation val="minMax"/>
        </c:scaling>
        <c:delete val="1"/>
        <c:axPos val="l"/>
        <c:numFmt formatCode="0.00" sourceLinked="1"/>
        <c:majorTickMark val="none"/>
        <c:minorTickMark val="none"/>
        <c:tickLblPos val="none"/>
        <c:crossAx val="83542784"/>
        <c:crossesAt val="5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001829794040869E-2"/>
          <c:y val="0.12535019015238189"/>
          <c:w val="0.88437606884291209"/>
          <c:h val="0.82416839237677653"/>
        </c:manualLayout>
      </c:layout>
      <c:bubbleChart>
        <c:varyColors val="0"/>
        <c:ser>
          <c:idx val="0"/>
          <c:order val="0"/>
          <c:tx>
            <c:strRef>
              <c:f>'OS Perceptual Map'!$C$26</c:f>
              <c:strCache>
                <c:ptCount val="1"/>
                <c:pt idx="0">
                  <c:v>Coke</c:v>
                </c:pt>
              </c:strCache>
            </c:strRef>
          </c:tx>
          <c:invertIfNegative val="0"/>
          <c:dLbls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'OS Perceptual Map'!$E$26</c:f>
              <c:numCache>
                <c:formatCode>0.00</c:formatCode>
                <c:ptCount val="1"/>
                <c:pt idx="0">
                  <c:v>4.5</c:v>
                </c:pt>
              </c:numCache>
            </c:numRef>
          </c:xVal>
          <c:yVal>
            <c:numRef>
              <c:f>'OS Perceptual Map'!$G$26</c:f>
              <c:numCache>
                <c:formatCode>0.00</c:formatCode>
                <c:ptCount val="1"/>
                <c:pt idx="0">
                  <c:v>4.5</c:v>
                </c:pt>
              </c:numCache>
            </c:numRef>
          </c:yVal>
          <c:bubbleSize>
            <c:numRef>
              <c:f>'OS Perceptual Map'!$I$26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</c:ser>
        <c:ser>
          <c:idx val="1"/>
          <c:order val="1"/>
          <c:tx>
            <c:strRef>
              <c:f>'OS Perceptual Map'!$C$27</c:f>
              <c:strCache>
                <c:ptCount val="1"/>
                <c:pt idx="0">
                  <c:v>Pepsi</c:v>
                </c:pt>
              </c:strCache>
            </c:strRef>
          </c:tx>
          <c:invertIfNegative val="0"/>
          <c:dPt>
            <c:idx val="0"/>
            <c:invertIfNegative val="0"/>
            <c:bubble3D val="0"/>
          </c:dPt>
          <c:dLbls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'OS Perceptual Map'!$E$27</c:f>
              <c:numCache>
                <c:formatCode>0.00</c:formatCode>
                <c:ptCount val="1"/>
                <c:pt idx="0">
                  <c:v>4.5</c:v>
                </c:pt>
              </c:numCache>
            </c:numRef>
          </c:xVal>
          <c:yVal>
            <c:numRef>
              <c:f>'OS Perceptual Map'!$G$27</c:f>
              <c:numCache>
                <c:formatCode>0.00</c:formatCode>
                <c:ptCount val="1"/>
                <c:pt idx="0">
                  <c:v>4.5</c:v>
                </c:pt>
              </c:numCache>
            </c:numRef>
          </c:yVal>
          <c:bubbleSize>
            <c:numRef>
              <c:f>'OS Perceptual Map'!$I$27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</c:ser>
        <c:ser>
          <c:idx val="2"/>
          <c:order val="2"/>
          <c:tx>
            <c:strRef>
              <c:f>'OS Perceptual Map'!$C$28</c:f>
              <c:strCache>
                <c:ptCount val="1"/>
                <c:pt idx="0">
                  <c:v>Mt Dew</c:v>
                </c:pt>
              </c:strCache>
            </c:strRef>
          </c:tx>
          <c:invertIfNegative val="0"/>
          <c:dPt>
            <c:idx val="0"/>
            <c:invertIfNegative val="0"/>
            <c:bubble3D val="0"/>
          </c:dPt>
          <c:dLbls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'OS Perceptual Map'!$E$28</c:f>
              <c:numCache>
                <c:formatCode>0.00</c:formatCode>
                <c:ptCount val="1"/>
                <c:pt idx="0">
                  <c:v>4.4999000000000002</c:v>
                </c:pt>
              </c:numCache>
            </c:numRef>
          </c:xVal>
          <c:yVal>
            <c:numRef>
              <c:f>'OS Perceptual Map'!$G$28</c:f>
              <c:numCache>
                <c:formatCode>0.00</c:formatCode>
                <c:ptCount val="1"/>
                <c:pt idx="0">
                  <c:v>7.4999000000000002</c:v>
                </c:pt>
              </c:numCache>
            </c:numRef>
          </c:yVal>
          <c:bubbleSize>
            <c:numRef>
              <c:f>'OS Perceptual Map'!$I$28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</c:ser>
        <c:ser>
          <c:idx val="8"/>
          <c:order val="3"/>
          <c:tx>
            <c:strRef>
              <c:f>'OS Perceptual Map'!$C$29</c:f>
              <c:strCache>
                <c:ptCount val="1"/>
                <c:pt idx="0">
                  <c:v>7 Up</c:v>
                </c:pt>
              </c:strCache>
            </c:strRef>
          </c:tx>
          <c:invertIfNegative val="0"/>
          <c:dLbls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'OS Perceptual Map'!$E$29</c:f>
              <c:numCache>
                <c:formatCode>0.00</c:formatCode>
                <c:ptCount val="1"/>
                <c:pt idx="0">
                  <c:v>4.5</c:v>
                </c:pt>
              </c:numCache>
            </c:numRef>
          </c:xVal>
          <c:yVal>
            <c:numRef>
              <c:f>'OS Perceptual Map'!$G$29</c:f>
              <c:numCache>
                <c:formatCode>0.00</c:formatCode>
                <c:ptCount val="1"/>
                <c:pt idx="0">
                  <c:v>4.5</c:v>
                </c:pt>
              </c:numCache>
            </c:numRef>
          </c:yVal>
          <c:bubbleSize>
            <c:numRef>
              <c:f>'OS Perceptual Map'!$I$29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</c:ser>
        <c:ser>
          <c:idx val="3"/>
          <c:order val="4"/>
          <c:tx>
            <c:strRef>
              <c:f>'OS Perceptual Map'!$C$30</c:f>
              <c:strCache>
                <c:ptCount val="1"/>
                <c:pt idx="0">
                  <c:v>Fanta</c:v>
                </c:pt>
              </c:strCache>
            </c:strRef>
          </c:tx>
          <c:invertIfNegative val="0"/>
          <c:dLbls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'OS Perceptual Map'!$E$30</c:f>
              <c:numCache>
                <c:formatCode>0.00</c:formatCode>
                <c:ptCount val="1"/>
                <c:pt idx="0">
                  <c:v>6.5000999999999998</c:v>
                </c:pt>
              </c:numCache>
            </c:numRef>
          </c:xVal>
          <c:yVal>
            <c:numRef>
              <c:f>'OS Perceptual Map'!$G$30</c:f>
              <c:numCache>
                <c:formatCode>0.00</c:formatCode>
                <c:ptCount val="1"/>
                <c:pt idx="0">
                  <c:v>3.5001000000000002</c:v>
                </c:pt>
              </c:numCache>
            </c:numRef>
          </c:yVal>
          <c:bubbleSize>
            <c:numRef>
              <c:f>'OS Perceptual Map'!$I$30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</c:ser>
        <c:ser>
          <c:idx val="5"/>
          <c:order val="5"/>
          <c:tx>
            <c:strRef>
              <c:f>'OS Perceptual Map'!$C$31</c:f>
              <c:strCache>
                <c:ptCount val="1"/>
                <c:pt idx="0">
                  <c:v>Coke Zero</c:v>
                </c:pt>
              </c:strCache>
            </c:strRef>
          </c:tx>
          <c:invertIfNegative val="0"/>
          <c:dPt>
            <c:idx val="0"/>
            <c:invertIfNegative val="0"/>
            <c:bubble3D val="0"/>
          </c:dPt>
          <c:dLbls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'OS Perceptual Map'!$E$31</c:f>
              <c:numCache>
                <c:formatCode>0.00</c:formatCode>
                <c:ptCount val="1"/>
                <c:pt idx="0">
                  <c:v>5</c:v>
                </c:pt>
              </c:numCache>
            </c:numRef>
          </c:xVal>
          <c:yVal>
            <c:numRef>
              <c:f>'OS Perceptual Map'!$G$31</c:f>
              <c:numCache>
                <c:formatCode>0.00</c:formatCode>
                <c:ptCount val="1"/>
                <c:pt idx="0">
                  <c:v>5</c:v>
                </c:pt>
              </c:numCache>
            </c:numRef>
          </c:yVal>
          <c:bubbleSize>
            <c:numRef>
              <c:f>'OS Perceptual Map'!$I$31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</c:ser>
        <c:ser>
          <c:idx val="6"/>
          <c:order val="6"/>
          <c:tx>
            <c:strRef>
              <c:f>'OS Perceptual Map'!$C$32</c:f>
              <c:strCache>
                <c:ptCount val="1"/>
                <c:pt idx="0">
                  <c:v>Diet Coke</c:v>
                </c:pt>
              </c:strCache>
            </c:strRef>
          </c:tx>
          <c:invertIfNegative val="0"/>
          <c:dLbls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</c:dLbls>
          <c:xVal>
            <c:numRef>
              <c:f>'OS Perceptual Map'!$E$32</c:f>
              <c:numCache>
                <c:formatCode>0.00</c:formatCode>
                <c:ptCount val="1"/>
                <c:pt idx="0">
                  <c:v>2</c:v>
                </c:pt>
              </c:numCache>
            </c:numRef>
          </c:xVal>
          <c:yVal>
            <c:numRef>
              <c:f>'OS Perceptual Map'!$G$32</c:f>
              <c:numCache>
                <c:formatCode>0.00</c:formatCode>
                <c:ptCount val="1"/>
                <c:pt idx="0">
                  <c:v>2</c:v>
                </c:pt>
              </c:numCache>
            </c:numRef>
          </c:yVal>
          <c:bubbleSize>
            <c:numRef>
              <c:f>'OS Perceptual Map'!$I$32</c:f>
              <c:numCache>
                <c:formatCode>General</c:formatCode>
                <c:ptCount val="1"/>
                <c:pt idx="0">
                  <c:v>2</c:v>
                </c:pt>
              </c:numCache>
            </c:numRef>
          </c:bubbleSize>
          <c:bubble3D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bubbleScale val="50"/>
        <c:showNegBubbles val="0"/>
        <c:axId val="85310848"/>
        <c:axId val="85329024"/>
      </c:bubbleChart>
      <c:valAx>
        <c:axId val="85310848"/>
        <c:scaling>
          <c:orientation val="minMax"/>
        </c:scaling>
        <c:delete val="1"/>
        <c:axPos val="b"/>
        <c:numFmt formatCode="0.00" sourceLinked="1"/>
        <c:majorTickMark val="none"/>
        <c:minorTickMark val="none"/>
        <c:tickLblPos val="none"/>
        <c:crossAx val="85329024"/>
        <c:crosses val="autoZero"/>
        <c:crossBetween val="midCat"/>
      </c:valAx>
      <c:valAx>
        <c:axId val="85329024"/>
        <c:scaling>
          <c:orientation val="minMax"/>
        </c:scaling>
        <c:delete val="1"/>
        <c:axPos val="l"/>
        <c:numFmt formatCode="0.00" sourceLinked="1"/>
        <c:majorTickMark val="none"/>
        <c:minorTickMark val="none"/>
        <c:tickLblPos val="none"/>
        <c:crossAx val="85310848"/>
        <c:crossesAt val="5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104776</xdr:colOff>
      <xdr:row>5</xdr:row>
      <xdr:rowOff>95251</xdr:rowOff>
    </xdr:from>
    <xdr:to>
      <xdr:col>5</xdr:col>
      <xdr:colOff>428625</xdr:colOff>
      <xdr:row>6</xdr:row>
      <xdr:rowOff>142875</xdr:rowOff>
    </xdr:to>
    <xdr:sp macro="" textlink="">
      <xdr:nvSpPr>
        <xdr:cNvPr id="2" name="Left Arrow 1"/>
        <xdr:cNvSpPr/>
      </xdr:nvSpPr>
      <xdr:spPr>
        <a:xfrm>
          <a:off x="4619626" y="1200151"/>
          <a:ext cx="1266824" cy="238124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266700</xdr:colOff>
      <xdr:row>23</xdr:row>
      <xdr:rowOff>161925</xdr:rowOff>
    </xdr:from>
    <xdr:to>
      <xdr:col>4</xdr:col>
      <xdr:colOff>847725</xdr:colOff>
      <xdr:row>25</xdr:row>
      <xdr:rowOff>0</xdr:rowOff>
    </xdr:to>
    <xdr:sp macro="" textlink="">
      <xdr:nvSpPr>
        <xdr:cNvPr id="3" name="Left Arrow 2"/>
        <xdr:cNvSpPr/>
      </xdr:nvSpPr>
      <xdr:spPr>
        <a:xfrm>
          <a:off x="4448175" y="4743450"/>
          <a:ext cx="581025" cy="2381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533400</xdr:colOff>
      <xdr:row>7</xdr:row>
      <xdr:rowOff>66675</xdr:rowOff>
    </xdr:from>
    <xdr:to>
      <xdr:col>6</xdr:col>
      <xdr:colOff>771525</xdr:colOff>
      <xdr:row>9</xdr:row>
      <xdr:rowOff>133350</xdr:rowOff>
    </xdr:to>
    <xdr:sp macro="" textlink="">
      <xdr:nvSpPr>
        <xdr:cNvPr id="7" name="Left Arrow 6"/>
        <xdr:cNvSpPr/>
      </xdr:nvSpPr>
      <xdr:spPr>
        <a:xfrm rot="16200000">
          <a:off x="6815138" y="1662112"/>
          <a:ext cx="457200" cy="2381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23</xdr:col>
      <xdr:colOff>104775</xdr:colOff>
      <xdr:row>1</xdr:row>
      <xdr:rowOff>109147</xdr:rowOff>
    </xdr:from>
    <xdr:to>
      <xdr:col>31</xdr:col>
      <xdr:colOff>485775</xdr:colOff>
      <xdr:row>25</xdr:row>
      <xdr:rowOff>38893</xdr:rowOff>
    </xdr:to>
    <xdr:graphicFrame macro="">
      <xdr:nvGraphicFramePr>
        <xdr:cNvPr id="8" name="Perceptual Map" descr="This spreadsheet allows students to quickly and easily prepare a perceptual map for marketing.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0.17808</cdr:x>
      <cdr:y>0.03636</cdr:y>
    </cdr:from>
    <cdr:to>
      <cdr:x>0.85693</cdr:x>
      <cdr:y>0.10248</cdr:y>
    </cdr:to>
    <cdr:sp macro="" textlink="'Map for 5 brands'!$D$25">
      <cdr:nvSpPr>
        <cdr:cNvPr id="4" name="Rectangle 3"/>
        <cdr:cNvSpPr/>
      </cdr:nvSpPr>
      <cdr:spPr>
        <a:xfrm xmlns:a="http://schemas.openxmlformats.org/drawingml/2006/main">
          <a:off x="1114425" y="209550"/>
          <a:ext cx="4248150" cy="381000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pPr algn="ctr"/>
          <a:fld id="{209AB6EB-AD62-45D2-B100-BCAE0AF40782}" type="TxLink">
            <a:rPr lang="en-US" sz="1600" b="1">
              <a:solidFill>
                <a:schemeClr val="tx1"/>
              </a:solidFill>
            </a:rPr>
            <a:pPr algn="ctr"/>
            <a:t>My OS Perceptual Map</a:t>
          </a:fld>
          <a:endParaRPr lang="en-US" sz="1600" b="1">
            <a:solidFill>
              <a:schemeClr val="tx1"/>
            </a:solidFill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104776</xdr:colOff>
      <xdr:row>5</xdr:row>
      <xdr:rowOff>95251</xdr:rowOff>
    </xdr:from>
    <xdr:to>
      <xdr:col>5</xdr:col>
      <xdr:colOff>419100</xdr:colOff>
      <xdr:row>6</xdr:row>
      <xdr:rowOff>104775</xdr:rowOff>
    </xdr:to>
    <xdr:sp macro="" textlink="">
      <xdr:nvSpPr>
        <xdr:cNvPr id="2" name="Left Arrow 1"/>
        <xdr:cNvSpPr/>
      </xdr:nvSpPr>
      <xdr:spPr>
        <a:xfrm>
          <a:off x="4619626" y="1200151"/>
          <a:ext cx="1257299" cy="200024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266700</xdr:colOff>
      <xdr:row>28</xdr:row>
      <xdr:rowOff>161925</xdr:rowOff>
    </xdr:from>
    <xdr:to>
      <xdr:col>4</xdr:col>
      <xdr:colOff>847725</xdr:colOff>
      <xdr:row>30</xdr:row>
      <xdr:rowOff>0</xdr:rowOff>
    </xdr:to>
    <xdr:sp macro="" textlink="">
      <xdr:nvSpPr>
        <xdr:cNvPr id="3" name="Left Arrow 2"/>
        <xdr:cNvSpPr/>
      </xdr:nvSpPr>
      <xdr:spPr>
        <a:xfrm>
          <a:off x="4781550" y="4781550"/>
          <a:ext cx="581025" cy="2381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495300</xdr:colOff>
      <xdr:row>7</xdr:row>
      <xdr:rowOff>95250</xdr:rowOff>
    </xdr:from>
    <xdr:to>
      <xdr:col>6</xdr:col>
      <xdr:colOff>733425</xdr:colOff>
      <xdr:row>9</xdr:row>
      <xdr:rowOff>161925</xdr:rowOff>
    </xdr:to>
    <xdr:sp macro="" textlink="">
      <xdr:nvSpPr>
        <xdr:cNvPr id="7" name="Left Arrow 6"/>
        <xdr:cNvSpPr/>
      </xdr:nvSpPr>
      <xdr:spPr>
        <a:xfrm rot="16200000">
          <a:off x="6777038" y="1690687"/>
          <a:ext cx="457200" cy="2381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22</xdr:col>
      <xdr:colOff>438150</xdr:colOff>
      <xdr:row>1</xdr:row>
      <xdr:rowOff>180975</xdr:rowOff>
    </xdr:from>
    <xdr:to>
      <xdr:col>32</xdr:col>
      <xdr:colOff>39558</xdr:colOff>
      <xdr:row>27</xdr:row>
      <xdr:rowOff>222071</xdr:rowOff>
    </xdr:to>
    <xdr:graphicFrame macro="">
      <xdr:nvGraphicFramePr>
        <xdr:cNvPr id="8" name="Perceptual Map" descr="This spreadsheet allows students to quickly and easily prepare a perceptual map for marketing.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0.17808</cdr:x>
      <cdr:y>0.03636</cdr:y>
    </cdr:from>
    <cdr:to>
      <cdr:x>0.85693</cdr:x>
      <cdr:y>0.10248</cdr:y>
    </cdr:to>
    <cdr:sp macro="" textlink="'Map for 6 brands'!$D$30">
      <cdr:nvSpPr>
        <cdr:cNvPr id="4" name="Rectangle 3"/>
        <cdr:cNvSpPr/>
      </cdr:nvSpPr>
      <cdr:spPr>
        <a:xfrm xmlns:a="http://schemas.openxmlformats.org/drawingml/2006/main">
          <a:off x="1114425" y="209550"/>
          <a:ext cx="4248150" cy="381000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pPr algn="ctr"/>
          <a:fld id="{0621697E-E306-4C25-A51E-BB45426437E9}" type="TxLink">
            <a:rPr lang="en-US" sz="1600" b="1">
              <a:solidFill>
                <a:schemeClr val="tx1"/>
              </a:solidFill>
            </a:rPr>
            <a:pPr algn="ctr"/>
            <a:t>My OS Perceptual Map</a:t>
          </a:fld>
          <a:endParaRPr lang="en-US" sz="1600" b="1">
            <a:solidFill>
              <a:schemeClr val="tx1"/>
            </a:solidFill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104776</xdr:colOff>
      <xdr:row>5</xdr:row>
      <xdr:rowOff>95251</xdr:rowOff>
    </xdr:from>
    <xdr:to>
      <xdr:col>5</xdr:col>
      <xdr:colOff>419100</xdr:colOff>
      <xdr:row>6</xdr:row>
      <xdr:rowOff>104775</xdr:rowOff>
    </xdr:to>
    <xdr:sp macro="" textlink="">
      <xdr:nvSpPr>
        <xdr:cNvPr id="2" name="Left Arrow 1"/>
        <xdr:cNvSpPr/>
      </xdr:nvSpPr>
      <xdr:spPr>
        <a:xfrm>
          <a:off x="4619626" y="1200151"/>
          <a:ext cx="1257299" cy="200024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266700</xdr:colOff>
      <xdr:row>35</xdr:row>
      <xdr:rowOff>161925</xdr:rowOff>
    </xdr:from>
    <xdr:to>
      <xdr:col>4</xdr:col>
      <xdr:colOff>847725</xdr:colOff>
      <xdr:row>37</xdr:row>
      <xdr:rowOff>0</xdr:rowOff>
    </xdr:to>
    <xdr:sp macro="" textlink="">
      <xdr:nvSpPr>
        <xdr:cNvPr id="3" name="Left Arrow 2"/>
        <xdr:cNvSpPr/>
      </xdr:nvSpPr>
      <xdr:spPr>
        <a:xfrm>
          <a:off x="4781550" y="5734050"/>
          <a:ext cx="581025" cy="2381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495300</xdr:colOff>
      <xdr:row>7</xdr:row>
      <xdr:rowOff>95250</xdr:rowOff>
    </xdr:from>
    <xdr:to>
      <xdr:col>6</xdr:col>
      <xdr:colOff>733425</xdr:colOff>
      <xdr:row>9</xdr:row>
      <xdr:rowOff>161925</xdr:rowOff>
    </xdr:to>
    <xdr:sp macro="" textlink="">
      <xdr:nvSpPr>
        <xdr:cNvPr id="7" name="Left Arrow 6"/>
        <xdr:cNvSpPr/>
      </xdr:nvSpPr>
      <xdr:spPr>
        <a:xfrm rot="16200000">
          <a:off x="6777038" y="1690687"/>
          <a:ext cx="457200" cy="2381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22</xdr:col>
      <xdr:colOff>467265</xdr:colOff>
      <xdr:row>1</xdr:row>
      <xdr:rowOff>53915</xdr:rowOff>
    </xdr:from>
    <xdr:to>
      <xdr:col>32</xdr:col>
      <xdr:colOff>54294</xdr:colOff>
      <xdr:row>27</xdr:row>
      <xdr:rowOff>87463</xdr:rowOff>
    </xdr:to>
    <xdr:graphicFrame macro="">
      <xdr:nvGraphicFramePr>
        <xdr:cNvPr id="9" name="Perceptual Map" descr="This spreadsheet allows students to quickly and easily prepare a perceptual map for marketing.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0.17808</cdr:x>
      <cdr:y>0.03636</cdr:y>
    </cdr:from>
    <cdr:to>
      <cdr:x>0.85693</cdr:x>
      <cdr:y>0.10248</cdr:y>
    </cdr:to>
    <cdr:sp macro="" textlink="'Map for 7 brands'!$D$37">
      <cdr:nvSpPr>
        <cdr:cNvPr id="4" name="Rectangle 3"/>
        <cdr:cNvSpPr/>
      </cdr:nvSpPr>
      <cdr:spPr>
        <a:xfrm xmlns:a="http://schemas.openxmlformats.org/drawingml/2006/main">
          <a:off x="1114425" y="209550"/>
          <a:ext cx="4248150" cy="381000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pPr algn="ctr"/>
          <a:fld id="{C112A5F5-19C7-4073-B3DD-B98A27C827B3}" type="TxLink">
            <a:rPr lang="en-US" sz="1600" b="1">
              <a:solidFill>
                <a:schemeClr val="tx1"/>
              </a:solidFill>
            </a:rPr>
            <a:pPr algn="ctr"/>
            <a:t>My OS Perceptual Map</a:t>
          </a:fld>
          <a:endParaRPr lang="en-US" sz="1600" b="1">
            <a:solidFill>
              <a:schemeClr val="tx1"/>
            </a:solidFill>
          </a:endParaRP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1876425</xdr:colOff>
      <xdr:row>55</xdr:row>
      <xdr:rowOff>152400</xdr:rowOff>
    </xdr:from>
    <xdr:to>
      <xdr:col>6</xdr:col>
      <xdr:colOff>1343025</xdr:colOff>
      <xdr:row>85</xdr:row>
      <xdr:rowOff>76200</xdr:rowOff>
    </xdr:to>
    <xdr:graphicFrame macro="">
      <xdr:nvGraphicFramePr>
        <xdr:cNvPr id="3" name="Perceptual Map" descr="This spreadsheet allows students to quickly and easily prepare a perceptual map for marketing.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0.17808</cdr:x>
      <cdr:y>0.03636</cdr:y>
    </cdr:from>
    <cdr:to>
      <cdr:x>0.85693</cdr:x>
      <cdr:y>0.10248</cdr:y>
    </cdr:to>
    <cdr:sp macro="" textlink="'OS Perceptual Map'!$E$5:$H$5">
      <cdr:nvSpPr>
        <cdr:cNvPr id="4" name="Rectangle 3"/>
        <cdr:cNvSpPr/>
      </cdr:nvSpPr>
      <cdr:spPr>
        <a:xfrm xmlns:a="http://schemas.openxmlformats.org/drawingml/2006/main">
          <a:off x="1114425" y="209550"/>
          <a:ext cx="4248150" cy="381000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pPr algn="ctr"/>
          <a:fld id="{CDFBA050-B233-4C3B-8768-B173C777A171}" type="TxLink">
            <a:rPr lang="en-US" sz="1600" b="1">
              <a:solidFill>
                <a:schemeClr val="tx1"/>
              </a:solidFill>
            </a:rPr>
            <a:pPr algn="ctr"/>
            <a:t>Overall Similarities Perceptual Map</a:t>
          </a:fld>
          <a:endParaRPr lang="en-US" sz="1600" b="1">
            <a:solidFill>
              <a:schemeClr val="tx1"/>
            </a:solidFill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segmentationstudyguide.com/" TargetMode="External"/><Relationship Id="rId1" Type="http://schemas.openxmlformats.org/officeDocument/2006/relationships/hyperlink" Target="http://www.perceptualmaps.com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5"/>
  <sheetViews>
    <sheetView tabSelected="1" workbookViewId="0"/>
  </sheetViews>
  <sheetFormatPr defaultRowHeight="15" x14ac:dyDescent="0.25"/>
  <cols>
    <col min="3" max="3" width="11.28515625" customWidth="1"/>
    <col min="14" max="14" width="11.42578125" customWidth="1"/>
  </cols>
  <sheetData>
    <row r="1" spans="2:14" ht="15.75" thickBot="1" x14ac:dyDescent="0.3"/>
    <row r="2" spans="2:14" ht="24" thickBot="1" x14ac:dyDescent="0.4">
      <c r="B2" s="250" t="s">
        <v>111</v>
      </c>
      <c r="C2" s="251"/>
      <c r="D2" s="251"/>
      <c r="E2" s="251"/>
      <c r="F2" s="251"/>
      <c r="G2" s="251"/>
      <c r="H2" s="251"/>
      <c r="I2" s="251"/>
      <c r="J2" s="251"/>
      <c r="K2" s="251"/>
      <c r="L2" s="251"/>
      <c r="M2" s="251"/>
      <c r="N2" s="252"/>
    </row>
    <row r="3" spans="2:14" ht="15.75" thickBot="1" x14ac:dyDescent="0.3">
      <c r="B3" s="253" t="s">
        <v>112</v>
      </c>
      <c r="C3" s="254"/>
      <c r="D3" s="159"/>
      <c r="E3" s="159"/>
      <c r="F3" s="159"/>
      <c r="G3" s="159"/>
      <c r="H3" s="159"/>
      <c r="I3" s="159"/>
      <c r="J3" s="159"/>
      <c r="K3" s="159"/>
      <c r="L3" s="159"/>
      <c r="M3" s="159"/>
      <c r="N3" s="160"/>
    </row>
    <row r="4" spans="2:14" x14ac:dyDescent="0.25">
      <c r="B4" s="161" t="s">
        <v>113</v>
      </c>
      <c r="C4" s="162"/>
      <c r="D4" s="162"/>
      <c r="E4" s="162"/>
      <c r="F4" s="162"/>
      <c r="G4" s="162"/>
      <c r="H4" s="162"/>
      <c r="I4" s="162"/>
      <c r="J4" s="162"/>
      <c r="K4" s="162"/>
      <c r="L4" s="162"/>
      <c r="M4" s="162"/>
      <c r="N4" s="163"/>
    </row>
    <row r="5" spans="2:14" x14ac:dyDescent="0.25">
      <c r="B5" s="161" t="s">
        <v>114</v>
      </c>
      <c r="C5" s="162"/>
      <c r="D5" s="162"/>
      <c r="E5" s="162"/>
      <c r="F5" s="162"/>
      <c r="G5" s="162"/>
      <c r="H5" s="162"/>
      <c r="I5" s="162"/>
      <c r="J5" s="162"/>
      <c r="K5" s="162"/>
      <c r="L5" s="162"/>
      <c r="M5" s="162"/>
      <c r="N5" s="163"/>
    </row>
    <row r="6" spans="2:14" x14ac:dyDescent="0.25">
      <c r="B6" s="161"/>
      <c r="C6" s="162"/>
      <c r="D6" s="162"/>
      <c r="E6" s="162"/>
      <c r="F6" s="162"/>
      <c r="G6" s="162"/>
      <c r="H6" s="162"/>
      <c r="I6" s="162"/>
      <c r="J6" s="162"/>
      <c r="K6" s="162"/>
      <c r="L6" s="162"/>
      <c r="M6" s="162"/>
      <c r="N6" s="163"/>
    </row>
    <row r="7" spans="2:14" x14ac:dyDescent="0.25">
      <c r="B7" s="161" t="s">
        <v>115</v>
      </c>
      <c r="C7" s="162"/>
      <c r="D7" s="162"/>
      <c r="E7" s="162"/>
      <c r="F7" s="162"/>
      <c r="G7" s="162"/>
      <c r="H7" s="162"/>
      <c r="I7" s="162"/>
      <c r="J7" s="162"/>
      <c r="K7" s="162"/>
      <c r="L7" s="162"/>
      <c r="M7" s="162"/>
      <c r="N7" s="163"/>
    </row>
    <row r="8" spans="2:14" x14ac:dyDescent="0.25">
      <c r="B8" s="161" t="s">
        <v>116</v>
      </c>
      <c r="C8" s="162"/>
      <c r="D8" s="162"/>
      <c r="E8" s="162"/>
      <c r="F8" s="162"/>
      <c r="G8" s="162"/>
      <c r="H8" s="162"/>
      <c r="I8" s="162"/>
      <c r="J8" s="162"/>
      <c r="K8" s="162"/>
      <c r="L8" s="162"/>
      <c r="M8" s="162"/>
      <c r="N8" s="163"/>
    </row>
    <row r="9" spans="2:14" x14ac:dyDescent="0.25">
      <c r="B9" s="161" t="s">
        <v>164</v>
      </c>
      <c r="C9" s="162"/>
      <c r="D9" s="162"/>
      <c r="E9" s="162"/>
      <c r="F9" s="162"/>
      <c r="G9" s="162"/>
      <c r="H9" s="162"/>
      <c r="I9" s="162"/>
      <c r="J9" s="162"/>
      <c r="K9" s="162"/>
      <c r="L9" s="162"/>
      <c r="M9" s="162"/>
      <c r="N9" s="163"/>
    </row>
    <row r="10" spans="2:14" ht="15.75" thickBot="1" x14ac:dyDescent="0.3">
      <c r="B10" s="164"/>
      <c r="C10" s="165"/>
      <c r="D10" s="165"/>
      <c r="E10" s="165"/>
      <c r="F10" s="165"/>
      <c r="G10" s="165"/>
      <c r="H10" s="165"/>
      <c r="I10" s="165"/>
      <c r="J10" s="165"/>
      <c r="K10" s="165"/>
      <c r="L10" s="165"/>
      <c r="M10" s="165"/>
      <c r="N10" s="166"/>
    </row>
    <row r="11" spans="2:14" ht="15.75" thickBot="1" x14ac:dyDescent="0.3">
      <c r="B11" s="253" t="s">
        <v>161</v>
      </c>
      <c r="C11" s="254"/>
      <c r="D11" s="159"/>
      <c r="E11" s="159"/>
      <c r="F11" s="159"/>
      <c r="G11" s="159"/>
      <c r="H11" s="159"/>
      <c r="I11" s="159"/>
      <c r="J11" s="159"/>
      <c r="K11" s="159"/>
      <c r="L11" s="159"/>
      <c r="M11" s="159"/>
      <c r="N11" s="160"/>
    </row>
    <row r="12" spans="2:14" x14ac:dyDescent="0.25">
      <c r="B12" s="161"/>
      <c r="C12" s="162"/>
      <c r="D12" s="117"/>
      <c r="E12" s="258" t="s">
        <v>162</v>
      </c>
      <c r="F12" s="258"/>
      <c r="G12" s="258"/>
      <c r="H12" s="258"/>
      <c r="I12" s="162"/>
      <c r="J12" s="258" t="s">
        <v>163</v>
      </c>
      <c r="K12" s="258"/>
      <c r="L12" s="258"/>
      <c r="M12" s="162"/>
      <c r="N12" s="163"/>
    </row>
    <row r="13" spans="2:14" ht="15.75" thickBot="1" x14ac:dyDescent="0.3">
      <c r="B13" s="164"/>
      <c r="C13" s="165"/>
      <c r="D13" s="165"/>
      <c r="E13" s="165"/>
      <c r="F13" s="165"/>
      <c r="G13" s="165"/>
      <c r="H13" s="165"/>
      <c r="I13" s="165"/>
      <c r="J13" s="165"/>
      <c r="K13" s="165"/>
      <c r="L13" s="165"/>
      <c r="M13" s="165"/>
      <c r="N13" s="166"/>
    </row>
    <row r="14" spans="2:14" ht="15.75" thickBot="1" x14ac:dyDescent="0.3">
      <c r="B14" s="253" t="s">
        <v>117</v>
      </c>
      <c r="C14" s="255"/>
      <c r="D14" s="254"/>
      <c r="E14" s="159"/>
      <c r="F14" s="159"/>
      <c r="G14" s="159"/>
      <c r="H14" s="159"/>
      <c r="I14" s="159"/>
      <c r="J14" s="159"/>
      <c r="K14" s="159"/>
      <c r="L14" s="159"/>
      <c r="M14" s="159"/>
      <c r="N14" s="160"/>
    </row>
    <row r="15" spans="2:14" x14ac:dyDescent="0.25">
      <c r="B15" s="161" t="s">
        <v>118</v>
      </c>
      <c r="C15" s="162"/>
      <c r="D15" s="162"/>
      <c r="E15" s="162"/>
      <c r="F15" s="162"/>
      <c r="G15" s="162"/>
      <c r="H15" s="162"/>
      <c r="I15" s="162"/>
      <c r="J15" s="162"/>
      <c r="K15" s="162"/>
      <c r="L15" s="162"/>
      <c r="M15" s="162"/>
      <c r="N15" s="163"/>
    </row>
    <row r="16" spans="2:14" x14ac:dyDescent="0.25">
      <c r="B16" s="161"/>
      <c r="C16" s="162"/>
      <c r="D16" s="162"/>
      <c r="E16" s="162"/>
      <c r="F16" s="162"/>
      <c r="G16" s="162"/>
      <c r="H16" s="162"/>
      <c r="I16" s="162"/>
      <c r="J16" s="162"/>
      <c r="K16" s="162"/>
      <c r="L16" s="162"/>
      <c r="M16" s="162"/>
      <c r="N16" s="163"/>
    </row>
    <row r="17" spans="2:14" x14ac:dyDescent="0.25">
      <c r="B17" s="161" t="s">
        <v>119</v>
      </c>
      <c r="C17" s="162"/>
      <c r="D17" s="162"/>
      <c r="E17" s="162"/>
      <c r="F17" s="162"/>
      <c r="G17" s="162"/>
      <c r="H17" s="162"/>
      <c r="I17" s="162"/>
      <c r="J17" s="162"/>
      <c r="K17" s="162"/>
      <c r="L17" s="162"/>
      <c r="M17" s="162"/>
      <c r="N17" s="163"/>
    </row>
    <row r="18" spans="2:14" x14ac:dyDescent="0.25">
      <c r="B18" s="161"/>
      <c r="C18" s="162"/>
      <c r="D18" s="162"/>
      <c r="E18" s="162"/>
      <c r="F18" s="162"/>
      <c r="G18" s="162"/>
      <c r="H18" s="162"/>
      <c r="I18" s="162"/>
      <c r="J18" s="162"/>
      <c r="K18" s="162"/>
      <c r="L18" s="162"/>
      <c r="M18" s="162"/>
      <c r="N18" s="163"/>
    </row>
    <row r="19" spans="2:14" x14ac:dyDescent="0.25">
      <c r="B19" s="161" t="s">
        <v>165</v>
      </c>
      <c r="C19" s="162"/>
      <c r="D19" s="162"/>
      <c r="E19" s="162"/>
      <c r="F19" s="162"/>
      <c r="G19" s="162"/>
      <c r="H19" s="162"/>
      <c r="I19" s="162"/>
      <c r="J19" s="162"/>
      <c r="K19" s="162"/>
      <c r="L19" s="162"/>
      <c r="M19" s="162"/>
      <c r="N19" s="163"/>
    </row>
    <row r="20" spans="2:14" ht="15.75" thickBot="1" x14ac:dyDescent="0.3">
      <c r="B20" s="164" t="s">
        <v>120</v>
      </c>
      <c r="C20" s="165"/>
      <c r="D20" s="165"/>
      <c r="E20" s="165"/>
      <c r="F20" s="165"/>
      <c r="G20" s="165"/>
      <c r="H20" s="165"/>
      <c r="I20" s="165"/>
      <c r="J20" s="165"/>
      <c r="K20" s="165"/>
      <c r="L20" s="165"/>
      <c r="M20" s="165"/>
      <c r="N20" s="166"/>
    </row>
    <row r="21" spans="2:14" ht="16.5" thickBot="1" x14ac:dyDescent="0.3">
      <c r="B21" s="256" t="s">
        <v>121</v>
      </c>
      <c r="C21" s="257"/>
      <c r="D21" s="168"/>
      <c r="E21" s="168"/>
      <c r="F21" s="168"/>
      <c r="G21" s="168"/>
      <c r="H21" s="168"/>
      <c r="I21" s="168"/>
      <c r="J21" s="168"/>
      <c r="K21" s="168"/>
      <c r="L21" s="168"/>
      <c r="M21" s="168"/>
      <c r="N21" s="169"/>
    </row>
    <row r="22" spans="2:14" x14ac:dyDescent="0.25">
      <c r="B22" s="167" t="s">
        <v>122</v>
      </c>
      <c r="C22" s="170"/>
      <c r="D22" s="170"/>
      <c r="E22" s="170"/>
      <c r="F22" s="170"/>
      <c r="G22" s="170"/>
      <c r="H22" s="170"/>
      <c r="I22" s="170"/>
      <c r="J22" s="170"/>
      <c r="K22" s="170"/>
      <c r="L22" s="170"/>
      <c r="M22" s="170"/>
      <c r="N22" s="171"/>
    </row>
    <row r="23" spans="2:14" ht="15.75" thickBot="1" x14ac:dyDescent="0.3">
      <c r="B23" s="167"/>
      <c r="C23" s="170"/>
      <c r="D23" s="170"/>
      <c r="E23" s="170"/>
      <c r="F23" s="170"/>
      <c r="G23" s="170"/>
      <c r="H23" s="170"/>
      <c r="I23" s="170"/>
      <c r="J23" s="170"/>
      <c r="K23" s="170"/>
      <c r="L23" s="170"/>
      <c r="M23" s="170"/>
      <c r="N23" s="171"/>
    </row>
    <row r="24" spans="2:14" ht="15.75" thickBot="1" x14ac:dyDescent="0.3">
      <c r="B24" s="167"/>
      <c r="C24" s="247" t="s">
        <v>123</v>
      </c>
      <c r="D24" s="248"/>
      <c r="E24" s="249"/>
      <c r="F24" s="170"/>
      <c r="G24" s="247" t="s">
        <v>124</v>
      </c>
      <c r="H24" s="248"/>
      <c r="I24" s="249"/>
      <c r="J24" s="170"/>
      <c r="K24" s="247" t="s">
        <v>125</v>
      </c>
      <c r="L24" s="248"/>
      <c r="M24" s="249"/>
      <c r="N24" s="171"/>
    </row>
    <row r="25" spans="2:14" ht="15.75" thickBot="1" x14ac:dyDescent="0.3">
      <c r="B25" s="172"/>
      <c r="C25" s="173"/>
      <c r="D25" s="173"/>
      <c r="E25" s="173"/>
      <c r="F25" s="173"/>
      <c r="G25" s="173"/>
      <c r="H25" s="173"/>
      <c r="I25" s="173"/>
      <c r="J25" s="173"/>
      <c r="K25" s="173"/>
      <c r="L25" s="173"/>
      <c r="M25" s="173"/>
      <c r="N25" s="174"/>
    </row>
  </sheetData>
  <mergeCells count="10">
    <mergeCell ref="C24:E24"/>
    <mergeCell ref="G24:I24"/>
    <mergeCell ref="K24:M24"/>
    <mergeCell ref="B2:N2"/>
    <mergeCell ref="B3:C3"/>
    <mergeCell ref="B11:C11"/>
    <mergeCell ref="B14:D14"/>
    <mergeCell ref="B21:C21"/>
    <mergeCell ref="E12:H12"/>
    <mergeCell ref="J12:L12"/>
  </mergeCells>
  <hyperlinks>
    <hyperlink ref="C24:E24" location="'Map for 5 brands'!A1" display="Go to map for 5 brands"/>
    <hyperlink ref="G24:I24" location="'Map for 6 brands'!A1" display="Go to map for 6 brands"/>
    <hyperlink ref="J12:L12" r:id="rId1" display="Making Perceptual Maps"/>
    <hyperlink ref="E12:H12" r:id="rId2" display="The Market Segmentation Study Guide"/>
    <hyperlink ref="K24:M24" location="'Map for 7 brands'!A1" display="Go to map for 7 brands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V33"/>
  <sheetViews>
    <sheetView workbookViewId="0"/>
  </sheetViews>
  <sheetFormatPr defaultRowHeight="15" x14ac:dyDescent="0.25"/>
  <cols>
    <col min="2" max="2" width="5" customWidth="1"/>
    <col min="3" max="3" width="14.42578125" bestFit="1" customWidth="1"/>
    <col min="4" max="4" width="46.42578125" customWidth="1"/>
    <col min="5" max="5" width="14.140625" customWidth="1"/>
    <col min="6" max="6" width="14" customWidth="1"/>
    <col min="7" max="7" width="17.7109375" customWidth="1"/>
  </cols>
  <sheetData>
    <row r="1" spans="3:22" ht="15.75" thickBot="1" x14ac:dyDescent="0.3"/>
    <row r="2" spans="3:22" ht="24" thickBot="1" x14ac:dyDescent="0.4">
      <c r="C2" s="259" t="s">
        <v>145</v>
      </c>
      <c r="D2" s="260"/>
      <c r="E2" s="260"/>
      <c r="F2" s="260"/>
      <c r="G2" s="260"/>
      <c r="H2" s="261"/>
    </row>
    <row r="3" spans="3:22" ht="19.5" thickBot="1" x14ac:dyDescent="0.35">
      <c r="Q3" s="220"/>
      <c r="R3" s="221" t="s">
        <v>167</v>
      </c>
      <c r="S3" s="222"/>
      <c r="T3" s="222"/>
      <c r="U3" s="223"/>
    </row>
    <row r="4" spans="3:22" ht="19.5" thickBot="1" x14ac:dyDescent="0.35">
      <c r="C4" s="217" t="s">
        <v>126</v>
      </c>
      <c r="D4" s="217" t="s">
        <v>127</v>
      </c>
      <c r="Q4" s="224"/>
      <c r="R4" s="225"/>
      <c r="S4" s="225"/>
      <c r="T4" s="225"/>
      <c r="U4" s="226"/>
    </row>
    <row r="5" spans="3:22" x14ac:dyDescent="0.25">
      <c r="C5" s="175"/>
      <c r="D5" s="178" t="s">
        <v>128</v>
      </c>
      <c r="Q5" s="224">
        <v>1</v>
      </c>
      <c r="R5" s="225" t="s">
        <v>168</v>
      </c>
      <c r="S5" s="225"/>
      <c r="T5" s="225"/>
      <c r="U5" s="226"/>
    </row>
    <row r="6" spans="3:22" x14ac:dyDescent="0.25">
      <c r="C6" s="176">
        <v>1</v>
      </c>
      <c r="D6" s="181" t="s">
        <v>108</v>
      </c>
      <c r="G6" s="179" t="s">
        <v>49</v>
      </c>
      <c r="Q6" s="224">
        <v>2</v>
      </c>
      <c r="R6" s="225" t="s">
        <v>169</v>
      </c>
      <c r="S6" s="225"/>
      <c r="T6" s="225"/>
      <c r="U6" s="226"/>
    </row>
    <row r="7" spans="3:22" x14ac:dyDescent="0.25">
      <c r="C7" s="176">
        <v>2</v>
      </c>
      <c r="D7" s="181" t="s">
        <v>109</v>
      </c>
      <c r="G7" s="179" t="s">
        <v>158</v>
      </c>
      <c r="Q7" s="224">
        <v>3</v>
      </c>
      <c r="R7" s="225" t="s">
        <v>170</v>
      </c>
      <c r="S7" s="225"/>
      <c r="T7" s="225"/>
      <c r="U7" s="226"/>
    </row>
    <row r="8" spans="3:22" ht="15.75" thickBot="1" x14ac:dyDescent="0.3">
      <c r="C8" s="176">
        <v>3</v>
      </c>
      <c r="D8" s="181" t="s">
        <v>143</v>
      </c>
      <c r="Q8" s="227"/>
      <c r="R8" s="228"/>
      <c r="S8" s="228"/>
      <c r="T8" s="228"/>
      <c r="U8" s="229"/>
    </row>
    <row r="9" spans="3:22" ht="15.75" thickBot="1" x14ac:dyDescent="0.3">
      <c r="C9" s="176">
        <v>4</v>
      </c>
      <c r="D9" s="181" t="s">
        <v>144</v>
      </c>
    </row>
    <row r="10" spans="3:22" ht="15.75" thickBot="1" x14ac:dyDescent="0.3">
      <c r="C10" s="177">
        <v>5</v>
      </c>
      <c r="D10" s="181" t="s">
        <v>110</v>
      </c>
      <c r="R10" s="204"/>
      <c r="S10" s="159"/>
      <c r="T10" s="160"/>
    </row>
    <row r="11" spans="3:22" ht="19.5" thickBot="1" x14ac:dyDescent="0.35">
      <c r="C11" s="217" t="s">
        <v>129</v>
      </c>
      <c r="D11" s="218" t="s">
        <v>132</v>
      </c>
      <c r="E11" s="262" t="s">
        <v>141</v>
      </c>
      <c r="F11" s="263"/>
      <c r="G11" s="189" t="s">
        <v>142</v>
      </c>
      <c r="R11" s="161"/>
      <c r="S11" s="194" t="s">
        <v>154</v>
      </c>
      <c r="T11" s="163"/>
    </row>
    <row r="12" spans="3:22" ht="15.75" thickBot="1" x14ac:dyDescent="0.3">
      <c r="C12" s="161"/>
      <c r="D12" s="180" t="s">
        <v>131</v>
      </c>
      <c r="E12" s="191" t="str">
        <f>+D6</f>
        <v>Coke</v>
      </c>
      <c r="F12" s="188" t="str">
        <f>+D7</f>
        <v>Pepsi</v>
      </c>
      <c r="G12" s="190">
        <v>5</v>
      </c>
      <c r="R12" s="161"/>
      <c r="S12" s="162"/>
      <c r="T12" s="163"/>
    </row>
    <row r="13" spans="3:22" ht="15.75" thickBot="1" x14ac:dyDescent="0.3">
      <c r="C13" s="161"/>
      <c r="D13" s="183" t="s">
        <v>130</v>
      </c>
      <c r="E13" s="191" t="str">
        <f>+E12</f>
        <v>Coke</v>
      </c>
      <c r="F13" s="188" t="str">
        <f>+D8</f>
        <v>Mt Dew</v>
      </c>
      <c r="G13" s="190">
        <v>5</v>
      </c>
      <c r="P13" s="264" t="s">
        <v>171</v>
      </c>
      <c r="Q13" s="265"/>
      <c r="R13" s="265"/>
      <c r="S13" s="265"/>
      <c r="T13" s="265"/>
      <c r="U13" s="265"/>
      <c r="V13" s="266"/>
    </row>
    <row r="14" spans="3:22" ht="15.75" thickBot="1" x14ac:dyDescent="0.3">
      <c r="C14" s="161"/>
      <c r="D14" s="183" t="s">
        <v>133</v>
      </c>
      <c r="E14" s="191" t="str">
        <f t="shared" ref="E14:E15" si="0">+E13</f>
        <v>Coke</v>
      </c>
      <c r="F14" s="188" t="str">
        <f>+D9</f>
        <v>7 Up</v>
      </c>
      <c r="G14" s="190">
        <v>5</v>
      </c>
    </row>
    <row r="15" spans="3:22" x14ac:dyDescent="0.25">
      <c r="C15" s="161"/>
      <c r="D15" s="183" t="s">
        <v>134</v>
      </c>
      <c r="E15" s="191" t="str">
        <f t="shared" si="0"/>
        <v>Coke</v>
      </c>
      <c r="F15" s="188" t="str">
        <f>+D10</f>
        <v>Fanta</v>
      </c>
      <c r="G15" s="190">
        <v>5</v>
      </c>
      <c r="R15" s="230"/>
      <c r="S15" s="231"/>
      <c r="T15" s="232"/>
    </row>
    <row r="16" spans="3:22" x14ac:dyDescent="0.25">
      <c r="C16" s="161"/>
      <c r="D16" s="183" t="s">
        <v>135</v>
      </c>
      <c r="E16" s="191" t="str">
        <f>+D7</f>
        <v>Pepsi</v>
      </c>
      <c r="F16" s="188" t="str">
        <f>+D8</f>
        <v>Mt Dew</v>
      </c>
      <c r="G16" s="190">
        <v>5</v>
      </c>
      <c r="R16" s="233"/>
      <c r="S16" s="234" t="s">
        <v>155</v>
      </c>
      <c r="T16" s="235"/>
    </row>
    <row r="17" spans="3:20" ht="15.75" thickBot="1" x14ac:dyDescent="0.3">
      <c r="C17" s="161"/>
      <c r="D17" s="183" t="s">
        <v>140</v>
      </c>
      <c r="E17" s="191" t="str">
        <f>+E16</f>
        <v>Pepsi</v>
      </c>
      <c r="F17" s="188" t="str">
        <f>+D9</f>
        <v>7 Up</v>
      </c>
      <c r="G17" s="190">
        <v>5</v>
      </c>
      <c r="R17" s="236"/>
      <c r="S17" s="237"/>
      <c r="T17" s="238"/>
    </row>
    <row r="18" spans="3:20" x14ac:dyDescent="0.25">
      <c r="C18" s="161"/>
      <c r="D18" s="183" t="s">
        <v>139</v>
      </c>
      <c r="E18" s="191" t="str">
        <f>+E17</f>
        <v>Pepsi</v>
      </c>
      <c r="F18" s="188" t="str">
        <f>+D10</f>
        <v>Fanta</v>
      </c>
      <c r="G18" s="190">
        <v>5</v>
      </c>
    </row>
    <row r="19" spans="3:20" x14ac:dyDescent="0.25">
      <c r="C19" s="161"/>
      <c r="D19" s="183" t="s">
        <v>138</v>
      </c>
      <c r="E19" s="191" t="str">
        <f>+D8</f>
        <v>Mt Dew</v>
      </c>
      <c r="F19" s="188" t="str">
        <f>+D9</f>
        <v>7 Up</v>
      </c>
      <c r="G19" s="190">
        <v>5</v>
      </c>
    </row>
    <row r="20" spans="3:20" x14ac:dyDescent="0.25">
      <c r="C20" s="161"/>
      <c r="D20" s="183" t="s">
        <v>137</v>
      </c>
      <c r="E20" s="191" t="str">
        <f>+E19</f>
        <v>Mt Dew</v>
      </c>
      <c r="F20" s="188" t="str">
        <f>+D10</f>
        <v>Fanta</v>
      </c>
      <c r="G20" s="190">
        <v>5</v>
      </c>
    </row>
    <row r="21" spans="3:20" x14ac:dyDescent="0.25">
      <c r="C21" s="161"/>
      <c r="D21" s="183" t="s">
        <v>136</v>
      </c>
      <c r="E21" s="191" t="str">
        <f>+D9</f>
        <v>7 Up</v>
      </c>
      <c r="F21" s="188" t="str">
        <f>+D10</f>
        <v>Fanta</v>
      </c>
      <c r="G21" s="190">
        <v>5</v>
      </c>
    </row>
    <row r="22" spans="3:20" ht="15.75" thickBot="1" x14ac:dyDescent="0.3">
      <c r="C22" s="164"/>
      <c r="D22" s="165"/>
      <c r="E22" s="192"/>
      <c r="F22" s="193"/>
      <c r="G22" s="187"/>
    </row>
    <row r="23" spans="3:20" ht="19.5" thickBot="1" x14ac:dyDescent="0.35">
      <c r="C23" s="217" t="s">
        <v>146</v>
      </c>
      <c r="D23" s="217" t="s">
        <v>148</v>
      </c>
      <c r="E23" s="162"/>
      <c r="F23" s="162"/>
      <c r="G23" s="163"/>
    </row>
    <row r="24" spans="3:20" ht="15.75" thickBot="1" x14ac:dyDescent="0.3">
      <c r="C24" s="161"/>
      <c r="D24" s="162"/>
      <c r="E24" s="162"/>
      <c r="F24" s="162"/>
      <c r="G24" s="163"/>
    </row>
    <row r="25" spans="3:20" ht="15.75" thickBot="1" x14ac:dyDescent="0.3">
      <c r="C25" s="185" t="s">
        <v>149</v>
      </c>
      <c r="D25" s="184" t="s">
        <v>150</v>
      </c>
      <c r="E25" s="162"/>
      <c r="F25" s="186" t="s">
        <v>159</v>
      </c>
      <c r="G25" s="163"/>
    </row>
    <row r="26" spans="3:20" ht="15.75" thickBot="1" x14ac:dyDescent="0.3">
      <c r="C26" s="164"/>
      <c r="D26" s="165"/>
      <c r="E26" s="165"/>
      <c r="F26" s="165"/>
      <c r="G26" s="166"/>
    </row>
    <row r="27" spans="3:20" ht="19.5" thickBot="1" x14ac:dyDescent="0.35">
      <c r="C27" s="217" t="s">
        <v>151</v>
      </c>
      <c r="D27" s="217" t="s">
        <v>147</v>
      </c>
      <c r="E27" s="159"/>
      <c r="F27" s="159"/>
      <c r="G27" s="160"/>
    </row>
    <row r="28" spans="3:20" x14ac:dyDescent="0.25">
      <c r="C28" s="161"/>
      <c r="D28" s="162"/>
      <c r="E28" s="162"/>
      <c r="F28" s="162"/>
      <c r="G28" s="163"/>
    </row>
    <row r="29" spans="3:20" x14ac:dyDescent="0.25">
      <c r="C29" s="161"/>
      <c r="D29" s="258" t="s">
        <v>152</v>
      </c>
      <c r="E29" s="258"/>
      <c r="F29" s="258"/>
      <c r="G29" s="163"/>
    </row>
    <row r="30" spans="3:20" ht="15.75" thickBot="1" x14ac:dyDescent="0.3">
      <c r="C30" s="164"/>
      <c r="D30" s="165"/>
      <c r="E30" s="165"/>
      <c r="F30" s="165"/>
      <c r="G30" s="166"/>
    </row>
    <row r="31" spans="3:20" x14ac:dyDescent="0.25">
      <c r="C31" s="208"/>
      <c r="D31" s="209"/>
      <c r="E31" s="209"/>
      <c r="F31" s="209"/>
      <c r="G31" s="210"/>
    </row>
    <row r="32" spans="3:20" x14ac:dyDescent="0.25">
      <c r="C32" s="211"/>
      <c r="D32" s="212" t="s">
        <v>166</v>
      </c>
      <c r="E32" s="213"/>
      <c r="F32" s="213"/>
      <c r="G32" s="214"/>
    </row>
    <row r="33" spans="3:7" ht="15.75" thickBot="1" x14ac:dyDescent="0.3">
      <c r="C33" s="215"/>
      <c r="D33" s="216"/>
      <c r="E33" s="216"/>
      <c r="F33" s="216"/>
      <c r="G33" s="187"/>
    </row>
  </sheetData>
  <mergeCells count="4">
    <mergeCell ref="C2:H2"/>
    <mergeCell ref="E11:F11"/>
    <mergeCell ref="D29:F29"/>
    <mergeCell ref="P13:V13"/>
  </mergeCells>
  <dataValidations count="1">
    <dataValidation type="decimal" allowBlank="1" showErrorMessage="1" errorTitle="Outside range" error="Use the 1-9 scale" promptTitle="Outside range" prompt="Use the 1-9 scale" sqref="G12:G21">
      <formula1>1</formula1>
      <formula2>9</formula2>
    </dataValidation>
  </dataValidations>
  <hyperlinks>
    <hyperlink ref="D29:F29" location="'Map for 5 brands'!AH1" display="Click here to view map - make sure all data is entered first"/>
    <hyperlink ref="S11" location="'Map for 5 brands'!A1" display="Go back to data"/>
    <hyperlink ref="S16" location="Welcome!A1" display="Go back to Welcome Page"/>
    <hyperlink ref="D32" location="Welcome!A1" display="Go back to Welcome Page and menu"/>
  </hyperlink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61"/>
  <sheetViews>
    <sheetView workbookViewId="0">
      <selection activeCell="K69" sqref="K69"/>
    </sheetView>
  </sheetViews>
  <sheetFormatPr defaultRowHeight="15" x14ac:dyDescent="0.25"/>
  <cols>
    <col min="12" max="12" width="10.28515625" bestFit="1" customWidth="1"/>
  </cols>
  <sheetData>
    <row r="1" spans="2:20" ht="15.75" thickBot="1" x14ac:dyDescent="0.3"/>
    <row r="2" spans="2:20" x14ac:dyDescent="0.25">
      <c r="B2" s="16"/>
      <c r="C2" s="8"/>
      <c r="D2" s="8">
        <v>1</v>
      </c>
      <c r="E2" s="8">
        <v>2</v>
      </c>
      <c r="F2" s="8">
        <v>3</v>
      </c>
      <c r="G2" s="8">
        <v>4</v>
      </c>
      <c r="H2" s="8">
        <v>5</v>
      </c>
      <c r="I2" s="8">
        <v>6</v>
      </c>
      <c r="J2" s="9">
        <v>7</v>
      </c>
      <c r="L2" s="15"/>
      <c r="M2" s="15"/>
      <c r="N2" s="15"/>
      <c r="O2" s="15"/>
      <c r="P2" s="15"/>
      <c r="Q2" s="15"/>
      <c r="R2" s="15"/>
      <c r="S2" s="15"/>
      <c r="T2" s="15"/>
    </row>
    <row r="3" spans="2:20" ht="15.75" thickBot="1" x14ac:dyDescent="0.3">
      <c r="B3" s="13"/>
      <c r="C3" s="15"/>
      <c r="D3" s="17" t="str">
        <f>+C4</f>
        <v>Coke</v>
      </c>
      <c r="E3" s="17" t="str">
        <f>+C5</f>
        <v>Pepsi</v>
      </c>
      <c r="F3" s="17" t="str">
        <f>+C6</f>
        <v>Mt Dew</v>
      </c>
      <c r="G3" s="17" t="str">
        <f>+C7</f>
        <v>7 Up</v>
      </c>
      <c r="H3" s="17" t="str">
        <f>+C8</f>
        <v>Fanta</v>
      </c>
      <c r="I3" s="17"/>
      <c r="J3" s="18"/>
      <c r="L3" s="15"/>
      <c r="M3" s="15"/>
      <c r="N3" s="17" t="str">
        <f>+'Map for 5 brands'!D6</f>
        <v>Coke</v>
      </c>
      <c r="O3" s="17"/>
      <c r="P3" s="17">
        <f>+'Map for 5 brands'!G12</f>
        <v>5</v>
      </c>
      <c r="Q3" s="17"/>
      <c r="R3" s="191" t="s">
        <v>108</v>
      </c>
      <c r="S3" s="188" t="s">
        <v>109</v>
      </c>
      <c r="T3" s="17"/>
    </row>
    <row r="4" spans="2:20" x14ac:dyDescent="0.25">
      <c r="B4" s="13">
        <v>1</v>
      </c>
      <c r="C4" s="17" t="str">
        <f>+N3</f>
        <v>Coke</v>
      </c>
      <c r="D4" s="20">
        <v>0</v>
      </c>
      <c r="E4" s="23">
        <f>+D5</f>
        <v>5</v>
      </c>
      <c r="F4" s="23">
        <f>+D6</f>
        <v>5</v>
      </c>
      <c r="G4" s="23">
        <f>+D7</f>
        <v>5</v>
      </c>
      <c r="H4" s="23">
        <f>+D8</f>
        <v>5</v>
      </c>
      <c r="I4" s="23">
        <f>+D9</f>
        <v>0</v>
      </c>
      <c r="J4" s="24">
        <f>+D10</f>
        <v>0</v>
      </c>
      <c r="L4" s="17"/>
      <c r="M4" s="17"/>
      <c r="N4" s="17" t="str">
        <f>+'Map for 5 brands'!D7</f>
        <v>Pepsi</v>
      </c>
      <c r="O4" s="35"/>
      <c r="P4" s="17">
        <f>+'Map for 5 brands'!G13</f>
        <v>5</v>
      </c>
      <c r="Q4" s="35"/>
      <c r="R4" s="191" t="s">
        <v>108</v>
      </c>
      <c r="S4" s="188" t="s">
        <v>143</v>
      </c>
      <c r="T4" s="35"/>
    </row>
    <row r="5" spans="2:20" x14ac:dyDescent="0.25">
      <c r="B5" s="13">
        <v>2</v>
      </c>
      <c r="C5" s="17" t="str">
        <f>+N4</f>
        <v>Pepsi</v>
      </c>
      <c r="D5" s="13">
        <f>+P3</f>
        <v>5</v>
      </c>
      <c r="E5" s="21">
        <v>0</v>
      </c>
      <c r="F5" s="21">
        <f>+E6</f>
        <v>5</v>
      </c>
      <c r="G5" s="21">
        <f>+E7</f>
        <v>5</v>
      </c>
      <c r="H5" s="21">
        <f>+E8</f>
        <v>5</v>
      </c>
      <c r="I5" s="21">
        <f>+E9</f>
        <v>0</v>
      </c>
      <c r="J5" s="25">
        <f>+E10</f>
        <v>0</v>
      </c>
      <c r="L5" s="17"/>
      <c r="M5" s="17"/>
      <c r="N5" s="17" t="str">
        <f>+'Map for 5 brands'!D8</f>
        <v>Mt Dew</v>
      </c>
      <c r="O5" s="35"/>
      <c r="P5" s="17">
        <f>+'Map for 5 brands'!G14</f>
        <v>5</v>
      </c>
      <c r="Q5" s="35"/>
      <c r="R5" s="191" t="s">
        <v>108</v>
      </c>
      <c r="S5" s="188" t="s">
        <v>110</v>
      </c>
      <c r="T5" s="35"/>
    </row>
    <row r="6" spans="2:20" x14ac:dyDescent="0.25">
      <c r="B6" s="13">
        <v>3</v>
      </c>
      <c r="C6" s="17" t="str">
        <f>+N5</f>
        <v>Mt Dew</v>
      </c>
      <c r="D6" s="13">
        <f t="shared" ref="D6:D8" si="0">+P4</f>
        <v>5</v>
      </c>
      <c r="E6" s="15">
        <f>+P7</f>
        <v>5</v>
      </c>
      <c r="F6" s="21">
        <v>0</v>
      </c>
      <c r="G6" s="21">
        <f>+F7</f>
        <v>5</v>
      </c>
      <c r="H6" s="21">
        <f>+F8</f>
        <v>5</v>
      </c>
      <c r="I6" s="21">
        <f>+F9</f>
        <v>0</v>
      </c>
      <c r="J6" s="25">
        <f>+F10</f>
        <v>0</v>
      </c>
      <c r="L6" s="17"/>
      <c r="M6" s="17"/>
      <c r="N6" s="17" t="str">
        <f>+'Map for 5 brands'!D9</f>
        <v>7 Up</v>
      </c>
      <c r="O6" s="35"/>
      <c r="P6" s="17">
        <f>+'Map for 5 brands'!G15</f>
        <v>5</v>
      </c>
      <c r="Q6" s="35"/>
      <c r="R6" s="191" t="s">
        <v>108</v>
      </c>
      <c r="S6" s="188" t="s">
        <v>144</v>
      </c>
      <c r="T6" s="35"/>
    </row>
    <row r="7" spans="2:20" x14ac:dyDescent="0.25">
      <c r="B7" s="13">
        <v>4</v>
      </c>
      <c r="C7" s="17" t="str">
        <f>+N6</f>
        <v>7 Up</v>
      </c>
      <c r="D7" s="13">
        <f t="shared" si="0"/>
        <v>5</v>
      </c>
      <c r="E7" s="15">
        <f t="shared" ref="E7:E8" si="1">+P8</f>
        <v>5</v>
      </c>
      <c r="F7" s="40">
        <f>+P10</f>
        <v>5</v>
      </c>
      <c r="G7" s="21">
        <v>0</v>
      </c>
      <c r="H7" s="21">
        <f>+G8</f>
        <v>5</v>
      </c>
      <c r="I7" s="21">
        <f>+G9</f>
        <v>0</v>
      </c>
      <c r="J7" s="25">
        <f>+G10</f>
        <v>0</v>
      </c>
      <c r="L7" s="17"/>
      <c r="M7" s="17"/>
      <c r="N7" s="17" t="str">
        <f>+'Map for 5 brands'!D10</f>
        <v>Fanta</v>
      </c>
      <c r="O7" s="35"/>
      <c r="P7" s="17">
        <f>+'Map for 5 brands'!G16</f>
        <v>5</v>
      </c>
      <c r="Q7" s="35"/>
      <c r="R7" s="191" t="s">
        <v>109</v>
      </c>
      <c r="S7" s="188" t="s">
        <v>143</v>
      </c>
      <c r="T7" s="35"/>
    </row>
    <row r="8" spans="2:20" x14ac:dyDescent="0.25">
      <c r="B8" s="13">
        <v>5</v>
      </c>
      <c r="C8" s="17" t="str">
        <f>+N7</f>
        <v>Fanta</v>
      </c>
      <c r="D8" s="13">
        <f t="shared" si="0"/>
        <v>5</v>
      </c>
      <c r="E8" s="15">
        <f t="shared" si="1"/>
        <v>5</v>
      </c>
      <c r="F8" s="40">
        <f>+P11</f>
        <v>5</v>
      </c>
      <c r="G8" s="40">
        <f>+P12</f>
        <v>5</v>
      </c>
      <c r="H8" s="21">
        <v>0</v>
      </c>
      <c r="I8" s="21">
        <f>+H9</f>
        <v>0</v>
      </c>
      <c r="J8" s="25">
        <f>+H10</f>
        <v>0</v>
      </c>
      <c r="L8" s="17"/>
      <c r="M8" s="17"/>
      <c r="N8" s="35"/>
      <c r="O8" s="35"/>
      <c r="P8" s="17">
        <f>+'Map for 5 brands'!G17</f>
        <v>5</v>
      </c>
      <c r="Q8" s="35"/>
      <c r="R8" s="191" t="s">
        <v>109</v>
      </c>
      <c r="S8" s="188" t="s">
        <v>110</v>
      </c>
      <c r="T8" s="35"/>
    </row>
    <row r="9" spans="2:20" x14ac:dyDescent="0.25">
      <c r="B9" s="13">
        <v>6</v>
      </c>
      <c r="C9" s="17"/>
      <c r="D9" s="13"/>
      <c r="E9" s="40"/>
      <c r="F9" s="40"/>
      <c r="G9" s="40"/>
      <c r="H9" s="40"/>
      <c r="I9" s="21">
        <v>0</v>
      </c>
      <c r="J9" s="25">
        <f>+I10</f>
        <v>0</v>
      </c>
      <c r="L9" s="17"/>
      <c r="M9" s="17"/>
      <c r="N9" s="35"/>
      <c r="O9" s="35"/>
      <c r="P9" s="17">
        <f>+'Map for 5 brands'!G18</f>
        <v>5</v>
      </c>
      <c r="Q9" s="35"/>
      <c r="R9" s="191" t="s">
        <v>109</v>
      </c>
      <c r="S9" s="188" t="s">
        <v>144</v>
      </c>
      <c r="T9" s="35"/>
    </row>
    <row r="10" spans="2:20" ht="15.75" thickBot="1" x14ac:dyDescent="0.3">
      <c r="B10" s="10">
        <v>7</v>
      </c>
      <c r="C10" s="19"/>
      <c r="D10" s="10"/>
      <c r="E10" s="11"/>
      <c r="F10" s="11"/>
      <c r="G10" s="11"/>
      <c r="H10" s="11"/>
      <c r="I10" s="11"/>
      <c r="J10" s="22">
        <v>0</v>
      </c>
      <c r="L10" s="17"/>
      <c r="M10" s="17"/>
      <c r="N10" s="145"/>
      <c r="O10" s="145"/>
      <c r="P10" s="17">
        <f>+'Map for 5 brands'!G19</f>
        <v>5</v>
      </c>
      <c r="Q10" s="145"/>
      <c r="R10" s="191" t="s">
        <v>143</v>
      </c>
      <c r="S10" s="188" t="s">
        <v>110</v>
      </c>
      <c r="T10" s="145"/>
    </row>
    <row r="11" spans="2:20" x14ac:dyDescent="0.25">
      <c r="L11" s="17"/>
      <c r="M11" s="17"/>
      <c r="N11" s="145"/>
      <c r="O11" s="145"/>
      <c r="P11" s="17">
        <f>+'Map for 5 brands'!G20</f>
        <v>5</v>
      </c>
      <c r="Q11" s="145"/>
      <c r="R11" s="191" t="s">
        <v>143</v>
      </c>
      <c r="S11" s="188" t="s">
        <v>144</v>
      </c>
      <c r="T11" s="145"/>
    </row>
    <row r="12" spans="2:20" x14ac:dyDescent="0.25">
      <c r="C12" s="28" t="s">
        <v>2</v>
      </c>
      <c r="D12" s="3">
        <f>SUM(D4:D11)+D2/1000</f>
        <v>20.001000000000001</v>
      </c>
      <c r="E12" s="3">
        <f t="shared" ref="E12:H12" si="2">SUM(E4:E11)+E2/1000</f>
        <v>20.001999999999999</v>
      </c>
      <c r="F12" s="3">
        <f t="shared" si="2"/>
        <v>20.003</v>
      </c>
      <c r="G12" s="3">
        <f t="shared" si="2"/>
        <v>20.004000000000001</v>
      </c>
      <c r="H12" s="3">
        <f t="shared" si="2"/>
        <v>20.004999999999999</v>
      </c>
      <c r="I12" s="3"/>
      <c r="J12" s="3"/>
      <c r="L12" s="17">
        <f>COUNTIF(D12:J12,"&gt;.5")</f>
        <v>5</v>
      </c>
      <c r="M12" s="17"/>
      <c r="N12" s="145"/>
      <c r="O12" s="145"/>
      <c r="P12" s="17">
        <f>+'Map for 5 brands'!G21</f>
        <v>5</v>
      </c>
      <c r="Q12" s="145"/>
      <c r="R12" s="191" t="s">
        <v>110</v>
      </c>
      <c r="S12" s="188" t="s">
        <v>144</v>
      </c>
      <c r="T12" s="145"/>
    </row>
    <row r="13" spans="2:20" x14ac:dyDescent="0.25">
      <c r="L13" s="17"/>
      <c r="M13" s="17"/>
      <c r="N13" s="145"/>
      <c r="O13" s="145"/>
      <c r="P13" s="17"/>
      <c r="Q13" s="145"/>
      <c r="R13" s="145"/>
      <c r="S13" s="145"/>
      <c r="T13" s="145"/>
    </row>
    <row r="14" spans="2:20" x14ac:dyDescent="0.25">
      <c r="C14" s="28" t="s">
        <v>3</v>
      </c>
      <c r="D14">
        <f>RANK(D12,five_spread)</f>
        <v>5</v>
      </c>
      <c r="E14">
        <f>RANK(E12,five_spread)</f>
        <v>4</v>
      </c>
      <c r="F14">
        <f>RANK(F12,five_spread)</f>
        <v>3</v>
      </c>
      <c r="G14">
        <f>RANK(G12,five_spread)</f>
        <v>2</v>
      </c>
      <c r="H14">
        <f>RANK(H12,five_spread)</f>
        <v>1</v>
      </c>
      <c r="L14" s="28"/>
      <c r="M14" s="17"/>
      <c r="N14" s="145"/>
      <c r="O14" s="145"/>
      <c r="P14" s="145"/>
      <c r="Q14" s="145"/>
      <c r="R14" s="145"/>
      <c r="S14" s="145"/>
      <c r="T14" s="145"/>
    </row>
    <row r="15" spans="2:20" x14ac:dyDescent="0.25">
      <c r="D15" s="34">
        <f>8-D14</f>
        <v>3</v>
      </c>
      <c r="E15" s="34">
        <f t="shared" ref="E15:H15" si="3">8-E14</f>
        <v>4</v>
      </c>
      <c r="F15" s="34">
        <f t="shared" si="3"/>
        <v>5</v>
      </c>
      <c r="G15" s="34">
        <f t="shared" si="3"/>
        <v>6</v>
      </c>
      <c r="H15" s="34">
        <f t="shared" si="3"/>
        <v>7</v>
      </c>
      <c r="I15" s="34"/>
      <c r="J15" s="34"/>
      <c r="L15" s="28"/>
      <c r="M15" s="17"/>
      <c r="N15" s="145"/>
      <c r="O15" s="145"/>
      <c r="P15" s="145"/>
      <c r="Q15" s="145"/>
      <c r="R15" s="145"/>
      <c r="S15" s="145"/>
      <c r="T15" s="145"/>
    </row>
    <row r="17" spans="2:24" x14ac:dyDescent="0.25">
      <c r="C17" s="1" t="s">
        <v>8</v>
      </c>
      <c r="D17">
        <f t="shared" ref="D17:H17" si="4">IF(D14=1,D2,0)</f>
        <v>0</v>
      </c>
      <c r="E17">
        <f t="shared" si="4"/>
        <v>0</v>
      </c>
      <c r="F17">
        <f t="shared" si="4"/>
        <v>0</v>
      </c>
      <c r="G17">
        <f t="shared" si="4"/>
        <v>0</v>
      </c>
      <c r="H17">
        <f t="shared" si="4"/>
        <v>5</v>
      </c>
      <c r="K17" s="4">
        <f>SUM(D17:J17)</f>
        <v>5</v>
      </c>
    </row>
    <row r="18" spans="2:24" ht="15.75" thickBot="1" x14ac:dyDescent="0.3"/>
    <row r="19" spans="2:24" ht="15.75" thickBot="1" x14ac:dyDescent="0.3">
      <c r="C19" s="1" t="s">
        <v>4</v>
      </c>
      <c r="D19">
        <f>IF(D14=1,2,0)</f>
        <v>0</v>
      </c>
      <c r="E19">
        <f t="shared" ref="E19:H19" si="5">IF(E14=1,2,0)</f>
        <v>0</v>
      </c>
      <c r="F19">
        <f t="shared" si="5"/>
        <v>0</v>
      </c>
      <c r="G19">
        <f t="shared" si="5"/>
        <v>0</v>
      </c>
      <c r="H19">
        <f t="shared" si="5"/>
        <v>2</v>
      </c>
      <c r="K19">
        <f>SUM(D19:J19)</f>
        <v>2</v>
      </c>
      <c r="O19">
        <v>2</v>
      </c>
      <c r="Q19" s="146">
        <f>+N91</f>
        <v>4.4999000000000002</v>
      </c>
      <c r="R19" s="146">
        <f>+O91</f>
        <v>7.4999000000000002</v>
      </c>
      <c r="S19" s="9" t="str">
        <f>+C4</f>
        <v>Coke</v>
      </c>
      <c r="U19" s="152"/>
      <c r="V19" s="152"/>
      <c r="X19" s="5"/>
    </row>
    <row r="20" spans="2:24" ht="15.75" thickBot="1" x14ac:dyDescent="0.3">
      <c r="C20" s="1" t="s">
        <v>5</v>
      </c>
      <c r="D20">
        <f>IF(D14=1,2,0)</f>
        <v>0</v>
      </c>
      <c r="E20">
        <f t="shared" ref="E20:H20" si="6">IF(E14=1,2,0)</f>
        <v>0</v>
      </c>
      <c r="F20">
        <f t="shared" si="6"/>
        <v>0</v>
      </c>
      <c r="G20">
        <f t="shared" si="6"/>
        <v>0</v>
      </c>
      <c r="H20">
        <f t="shared" si="6"/>
        <v>2</v>
      </c>
      <c r="K20">
        <f>SUM(D20:J20)</f>
        <v>2</v>
      </c>
      <c r="O20">
        <v>2</v>
      </c>
      <c r="Q20" s="146">
        <f t="shared" ref="Q20:R23" si="7">+N92</f>
        <v>4.5</v>
      </c>
      <c r="R20" s="146">
        <f t="shared" si="7"/>
        <v>4.5</v>
      </c>
      <c r="S20" s="14" t="str">
        <f t="shared" ref="S20:S23" si="8">+C5</f>
        <v>Pepsi</v>
      </c>
      <c r="T20" s="37"/>
      <c r="U20" s="152"/>
      <c r="V20" s="152"/>
      <c r="X20" s="5"/>
    </row>
    <row r="21" spans="2:24" ht="15.75" thickBot="1" x14ac:dyDescent="0.3">
      <c r="O21">
        <v>2</v>
      </c>
      <c r="Q21" s="146">
        <f t="shared" si="7"/>
        <v>6.5000999999999998</v>
      </c>
      <c r="R21" s="146">
        <f t="shared" si="7"/>
        <v>3.5001000000000002</v>
      </c>
      <c r="S21" s="14" t="str">
        <f t="shared" si="8"/>
        <v>Mt Dew</v>
      </c>
      <c r="T21" s="37"/>
      <c r="U21" s="152"/>
      <c r="V21" s="152"/>
      <c r="X21" s="5"/>
    </row>
    <row r="22" spans="2:24" ht="15.75" thickBot="1" x14ac:dyDescent="0.3">
      <c r="C22" s="1" t="s">
        <v>94</v>
      </c>
      <c r="D22">
        <v>3</v>
      </c>
      <c r="E22">
        <f>+D22+1</f>
        <v>4</v>
      </c>
      <c r="F22">
        <f t="shared" ref="F22:H22" si="9">+E22+1</f>
        <v>5</v>
      </c>
      <c r="G22">
        <f t="shared" si="9"/>
        <v>6</v>
      </c>
      <c r="H22">
        <f t="shared" si="9"/>
        <v>7</v>
      </c>
      <c r="O22">
        <v>2</v>
      </c>
      <c r="Q22" s="146">
        <f t="shared" si="7"/>
        <v>5</v>
      </c>
      <c r="R22" s="146">
        <f t="shared" si="7"/>
        <v>5</v>
      </c>
      <c r="S22" s="14" t="str">
        <f t="shared" si="8"/>
        <v>7 Up</v>
      </c>
      <c r="T22" s="37"/>
      <c r="U22" s="152"/>
      <c r="V22" s="152"/>
      <c r="X22" s="5"/>
    </row>
    <row r="23" spans="2:24" x14ac:dyDescent="0.25">
      <c r="D23" s="3">
        <f>VLOOKUP($K17,five_brand_data,D22)+D2/1000</f>
        <v>5.0010000000000003</v>
      </c>
      <c r="E23" s="3">
        <f>VLOOKUP($K17,five_brand_data,E22)+E2/1000</f>
        <v>5.0019999999999998</v>
      </c>
      <c r="F23" s="3">
        <f>VLOOKUP($K17,five_brand_data,F22)+F2/1000</f>
        <v>5.0030000000000001</v>
      </c>
      <c r="G23" s="3">
        <f>VLOOKUP($K17,five_brand_data,G22)+G2/1000</f>
        <v>5.0039999999999996</v>
      </c>
      <c r="H23" s="3">
        <f>VLOOKUP($K17,five_brand_data,H22)+H2/1000</f>
        <v>5.0000000000000001E-3</v>
      </c>
      <c r="I23" s="3"/>
      <c r="J23" s="3"/>
      <c r="O23">
        <v>2</v>
      </c>
      <c r="Q23" s="146">
        <f t="shared" si="7"/>
        <v>2</v>
      </c>
      <c r="R23" s="146">
        <f t="shared" si="7"/>
        <v>2</v>
      </c>
      <c r="S23" s="14" t="str">
        <f t="shared" si="8"/>
        <v>Fanta</v>
      </c>
      <c r="T23" s="37"/>
      <c r="U23" s="152"/>
      <c r="V23" s="152"/>
      <c r="X23" s="5"/>
    </row>
    <row r="24" spans="2:24" x14ac:dyDescent="0.25">
      <c r="C24" s="1" t="s">
        <v>3</v>
      </c>
      <c r="D24">
        <f>RANK(D23,$D23:$J23)</f>
        <v>4</v>
      </c>
      <c r="E24">
        <f t="shared" ref="E24:H24" si="10">RANK(E23,$D23:$J23)</f>
        <v>3</v>
      </c>
      <c r="F24">
        <f t="shared" si="10"/>
        <v>2</v>
      </c>
      <c r="G24">
        <f t="shared" si="10"/>
        <v>1</v>
      </c>
      <c r="H24">
        <f t="shared" si="10"/>
        <v>5</v>
      </c>
      <c r="Q24" s="148"/>
      <c r="R24" s="149"/>
      <c r="S24" s="14"/>
      <c r="T24" s="37"/>
      <c r="U24" s="152"/>
      <c r="V24" s="152"/>
      <c r="X24" s="5"/>
    </row>
    <row r="25" spans="2:24" ht="15.75" thickBot="1" x14ac:dyDescent="0.3">
      <c r="Q25" s="150"/>
      <c r="R25" s="151"/>
      <c r="S25" s="12"/>
      <c r="T25" s="37"/>
      <c r="U25" s="152"/>
      <c r="V25" s="152"/>
      <c r="X25" s="5"/>
    </row>
    <row r="26" spans="2:24" x14ac:dyDescent="0.25">
      <c r="B26" s="31" t="s">
        <v>6</v>
      </c>
      <c r="C26" s="110" t="s">
        <v>32</v>
      </c>
      <c r="D26" s="8">
        <f>IF(D24=1,D2,0)</f>
        <v>0</v>
      </c>
      <c r="E26" s="8">
        <f t="shared" ref="E26:J26" si="11">IF(E24=1,E2,0)</f>
        <v>0</v>
      </c>
      <c r="F26" s="8">
        <f t="shared" si="11"/>
        <v>0</v>
      </c>
      <c r="G26" s="8">
        <f t="shared" si="11"/>
        <v>4</v>
      </c>
      <c r="H26" s="8">
        <f t="shared" si="11"/>
        <v>0</v>
      </c>
      <c r="I26" s="8">
        <f t="shared" si="11"/>
        <v>0</v>
      </c>
      <c r="J26" s="8">
        <f t="shared" si="11"/>
        <v>0</v>
      </c>
      <c r="K26" s="26">
        <f t="shared" ref="K26:K29" si="12">SUM(D26:J26)</f>
        <v>4</v>
      </c>
      <c r="T26" s="37"/>
      <c r="U26" s="2"/>
      <c r="V26" s="2"/>
    </row>
    <row r="27" spans="2:24" x14ac:dyDescent="0.25">
      <c r="B27" s="111" t="s">
        <v>7</v>
      </c>
      <c r="C27" s="17" t="s">
        <v>24</v>
      </c>
      <c r="D27" s="15">
        <f>IF(D24=2,D2,0)</f>
        <v>0</v>
      </c>
      <c r="E27" s="15">
        <f t="shared" ref="E27:J27" si="13">IF(E24=2,E2,0)</f>
        <v>0</v>
      </c>
      <c r="F27" s="15">
        <f t="shared" si="13"/>
        <v>3</v>
      </c>
      <c r="G27" s="15">
        <f t="shared" si="13"/>
        <v>0</v>
      </c>
      <c r="H27" s="15">
        <f t="shared" si="13"/>
        <v>0</v>
      </c>
      <c r="I27" s="15">
        <f t="shared" si="13"/>
        <v>0</v>
      </c>
      <c r="J27" s="15">
        <f t="shared" si="13"/>
        <v>0</v>
      </c>
      <c r="K27" s="128">
        <f t="shared" si="12"/>
        <v>3</v>
      </c>
    </row>
    <row r="28" spans="2:24" ht="15.75" thickBot="1" x14ac:dyDescent="0.3">
      <c r="B28" s="29" t="s">
        <v>10</v>
      </c>
      <c r="C28" s="19" t="s">
        <v>17</v>
      </c>
      <c r="D28" s="11">
        <f>IF(D24=3,D2,0)</f>
        <v>0</v>
      </c>
      <c r="E28" s="11">
        <f t="shared" ref="E28:J29" si="14">IF(E24=3,E2,0)</f>
        <v>2</v>
      </c>
      <c r="F28" s="11">
        <f t="shared" si="14"/>
        <v>0</v>
      </c>
      <c r="G28" s="11">
        <f t="shared" si="14"/>
        <v>0</v>
      </c>
      <c r="H28" s="11">
        <f t="shared" si="14"/>
        <v>0</v>
      </c>
      <c r="I28" s="11">
        <f t="shared" si="14"/>
        <v>0</v>
      </c>
      <c r="J28" s="11">
        <f t="shared" si="14"/>
        <v>0</v>
      </c>
      <c r="K28" s="129">
        <f t="shared" si="12"/>
        <v>2</v>
      </c>
      <c r="Q28" s="37"/>
    </row>
    <row r="29" spans="2:24" ht="15.75" thickBot="1" x14ac:dyDescent="0.3">
      <c r="B29" s="295" t="s">
        <v>173</v>
      </c>
      <c r="C29" s="296" t="s">
        <v>10</v>
      </c>
      <c r="D29" s="297">
        <f>IF(D24=4,D2,0)</f>
        <v>1</v>
      </c>
      <c r="E29" s="297">
        <f t="shared" ref="E29:H29" si="15">IF(E24=4,E2,0)</f>
        <v>0</v>
      </c>
      <c r="F29" s="297">
        <f t="shared" si="15"/>
        <v>0</v>
      </c>
      <c r="G29" s="297">
        <f t="shared" si="15"/>
        <v>0</v>
      </c>
      <c r="H29" s="297">
        <f t="shared" si="15"/>
        <v>0</v>
      </c>
      <c r="I29" s="297">
        <f t="shared" si="14"/>
        <v>0</v>
      </c>
      <c r="J29" s="297">
        <f t="shared" si="14"/>
        <v>0</v>
      </c>
      <c r="K29" s="303">
        <f t="shared" si="12"/>
        <v>1</v>
      </c>
      <c r="Q29" s="37"/>
    </row>
    <row r="30" spans="2:24" ht="15.75" thickBot="1" x14ac:dyDescent="0.3"/>
    <row r="31" spans="2:24" ht="15.75" thickBot="1" x14ac:dyDescent="0.3">
      <c r="C31" s="107" t="s">
        <v>95</v>
      </c>
      <c r="D31" s="9">
        <f>VLOOKUP(K17,five_brand_data,K26+2)</f>
        <v>5</v>
      </c>
      <c r="F31" s="107" t="s">
        <v>98</v>
      </c>
      <c r="G31" s="9">
        <f>VLOOKUP(K26,five_brand_data,K27+2)</f>
        <v>5</v>
      </c>
      <c r="I31" s="298" t="s">
        <v>100</v>
      </c>
      <c r="J31" s="299">
        <f>VLOOKUP(K27,five_brand_data,K28+2)+0.0001</f>
        <v>5.0000999999999998</v>
      </c>
      <c r="K31" s="294">
        <f>MAX(J31:J33)</f>
        <v>5.0002000000000004</v>
      </c>
      <c r="L31" s="304">
        <f>IF(J31=K31,K28,K29)</f>
        <v>1</v>
      </c>
    </row>
    <row r="32" spans="2:24" x14ac:dyDescent="0.25">
      <c r="C32" s="108" t="s">
        <v>96</v>
      </c>
      <c r="D32" s="14">
        <f>VLOOKUP(K17,five_brand_data,K27+2)</f>
        <v>5</v>
      </c>
      <c r="F32" s="112" t="s">
        <v>99</v>
      </c>
      <c r="G32" s="14">
        <f>VLOOKUP(K26,five_brand_data,L31+2)</f>
        <v>5</v>
      </c>
      <c r="I32" s="300" t="s">
        <v>172</v>
      </c>
      <c r="J32" s="301">
        <f>VLOOKUP(K27,five_brand_data,K29+2)+0.0002</f>
        <v>5.0002000000000004</v>
      </c>
      <c r="K32" s="293"/>
      <c r="L32" s="305"/>
      <c r="Q32">
        <v>1</v>
      </c>
      <c r="R32">
        <v>0.9</v>
      </c>
    </row>
    <row r="33" spans="1:18" ht="15.75" thickBot="1" x14ac:dyDescent="0.3">
      <c r="C33" s="109" t="s">
        <v>97</v>
      </c>
      <c r="D33" s="12">
        <f>VLOOKUP(K17,five_brand_data,L31+2)</f>
        <v>5</v>
      </c>
      <c r="F33" s="10"/>
      <c r="G33" s="12"/>
      <c r="I33" s="327" t="s">
        <v>105</v>
      </c>
      <c r="J33" s="302"/>
      <c r="K33" s="306"/>
      <c r="L33" s="302"/>
      <c r="Q33">
        <v>2</v>
      </c>
      <c r="R33">
        <f>+R32-0.1</f>
        <v>0.8</v>
      </c>
    </row>
    <row r="34" spans="1:18" ht="15.75" thickBot="1" x14ac:dyDescent="0.3">
      <c r="A34" s="308"/>
      <c r="B34" s="308" t="s">
        <v>174</v>
      </c>
      <c r="C34" s="308"/>
      <c r="D34" s="308"/>
      <c r="E34" s="308"/>
      <c r="F34" s="308"/>
      <c r="G34" s="308"/>
      <c r="H34" s="308">
        <v>2</v>
      </c>
      <c r="I34" s="308"/>
      <c r="J34" s="308"/>
      <c r="K34" s="308"/>
      <c r="L34" s="308"/>
      <c r="Q34">
        <v>3</v>
      </c>
      <c r="R34">
        <f t="shared" ref="R34:R40" si="16">+R33-0.1</f>
        <v>0.70000000000000007</v>
      </c>
    </row>
    <row r="35" spans="1:18" x14ac:dyDescent="0.25">
      <c r="A35" s="308"/>
      <c r="B35" s="310"/>
      <c r="C35" s="311"/>
      <c r="D35" s="317" t="s">
        <v>101</v>
      </c>
      <c r="E35" s="318" t="s">
        <v>95</v>
      </c>
      <c r="F35" s="319" t="s">
        <v>96</v>
      </c>
      <c r="G35" s="319" t="s">
        <v>97</v>
      </c>
      <c r="H35" s="317" t="s">
        <v>175</v>
      </c>
      <c r="I35" s="318" t="s">
        <v>98</v>
      </c>
      <c r="J35" s="318" t="s">
        <v>99</v>
      </c>
      <c r="K35" s="318" t="s">
        <v>176</v>
      </c>
      <c r="L35" s="320" t="s">
        <v>100</v>
      </c>
      <c r="M35" s="113" t="s">
        <v>105</v>
      </c>
      <c r="Q35">
        <v>4</v>
      </c>
      <c r="R35">
        <f t="shared" si="16"/>
        <v>0.60000000000000009</v>
      </c>
    </row>
    <row r="36" spans="1:18" x14ac:dyDescent="0.25">
      <c r="A36" s="308"/>
      <c r="B36" s="316" t="s">
        <v>0</v>
      </c>
      <c r="C36" s="28" t="s">
        <v>9</v>
      </c>
      <c r="D36" s="312">
        <v>2</v>
      </c>
      <c r="E36" s="312"/>
      <c r="F36" s="312"/>
      <c r="G36" s="312"/>
      <c r="H36" s="313">
        <f>+H34</f>
        <v>2</v>
      </c>
      <c r="I36" s="312"/>
      <c r="J36" s="312"/>
      <c r="K36" s="312">
        <f>+H34</f>
        <v>2</v>
      </c>
      <c r="L36" s="314"/>
      <c r="M36" s="114">
        <f>+K36</f>
        <v>2</v>
      </c>
      <c r="Q36">
        <v>5</v>
      </c>
      <c r="R36">
        <f t="shared" si="16"/>
        <v>0.50000000000000011</v>
      </c>
    </row>
    <row r="37" spans="1:18" x14ac:dyDescent="0.25">
      <c r="A37" s="308"/>
      <c r="B37" s="321" t="s">
        <v>104</v>
      </c>
      <c r="C37" s="28" t="s">
        <v>6</v>
      </c>
      <c r="D37" s="312">
        <v>8</v>
      </c>
      <c r="E37" s="312">
        <f>+D31</f>
        <v>5</v>
      </c>
      <c r="F37" s="312"/>
      <c r="G37" s="312"/>
      <c r="H37" s="313">
        <f>+E37+H34</f>
        <v>7</v>
      </c>
      <c r="I37" s="312"/>
      <c r="J37" s="312">
        <f>+G32</f>
        <v>5</v>
      </c>
      <c r="K37" s="312">
        <f>+H37-(9-J37)/2</f>
        <v>5</v>
      </c>
      <c r="L37" s="314"/>
      <c r="M37" s="114">
        <f>+K37</f>
        <v>5</v>
      </c>
      <c r="Q37">
        <v>6</v>
      </c>
      <c r="R37">
        <f t="shared" si="16"/>
        <v>0.40000000000000013</v>
      </c>
    </row>
    <row r="38" spans="1:18" x14ac:dyDescent="0.25">
      <c r="A38" s="308"/>
      <c r="B38" s="321" t="s">
        <v>102</v>
      </c>
      <c r="C38" s="28" t="s">
        <v>7</v>
      </c>
      <c r="D38" s="312">
        <v>8</v>
      </c>
      <c r="E38" s="312"/>
      <c r="F38" s="312">
        <f>+D32</f>
        <v>5</v>
      </c>
      <c r="G38" s="312"/>
      <c r="H38" s="313">
        <f>+F38+H34</f>
        <v>7</v>
      </c>
      <c r="I38" s="312"/>
      <c r="J38" s="312"/>
      <c r="K38" s="312">
        <f>+H38</f>
        <v>7</v>
      </c>
      <c r="L38" s="315">
        <f>+K31</f>
        <v>5.0002000000000004</v>
      </c>
      <c r="M38" s="328">
        <f>+K38-(6-L38)/2</f>
        <v>6.5000999999999998</v>
      </c>
      <c r="Q38">
        <v>7</v>
      </c>
      <c r="R38">
        <f t="shared" si="16"/>
        <v>0.30000000000000016</v>
      </c>
    </row>
    <row r="39" spans="1:18" x14ac:dyDescent="0.25">
      <c r="A39" s="308"/>
      <c r="B39" s="321" t="s">
        <v>103</v>
      </c>
      <c r="C39" s="28" t="s">
        <v>10</v>
      </c>
      <c r="D39" s="312">
        <v>2</v>
      </c>
      <c r="E39" s="312"/>
      <c r="F39" s="312"/>
      <c r="G39" s="312"/>
      <c r="H39" s="313">
        <f>+H34</f>
        <v>2</v>
      </c>
      <c r="I39" s="312"/>
      <c r="J39" s="312">
        <f>+G32</f>
        <v>5</v>
      </c>
      <c r="K39" s="312">
        <f>+H39+(9-J39)/2</f>
        <v>4</v>
      </c>
      <c r="L39" s="315">
        <f>+K31</f>
        <v>5.0002000000000004</v>
      </c>
      <c r="M39" s="328">
        <f>+K39+(6-L39)/2</f>
        <v>4.4999000000000002</v>
      </c>
      <c r="Q39">
        <v>8</v>
      </c>
      <c r="R39">
        <f t="shared" si="16"/>
        <v>0.20000000000000015</v>
      </c>
    </row>
    <row r="40" spans="1:18" x14ac:dyDescent="0.25">
      <c r="A40" s="309"/>
      <c r="B40" s="316"/>
      <c r="C40" s="40"/>
      <c r="D40" s="312"/>
      <c r="E40" s="312"/>
      <c r="F40" s="312"/>
      <c r="G40" s="312"/>
      <c r="H40" s="40"/>
      <c r="I40" s="312"/>
      <c r="J40" s="312"/>
      <c r="K40" s="312"/>
      <c r="L40" s="314"/>
      <c r="M40" s="115"/>
      <c r="Q40">
        <v>9</v>
      </c>
      <c r="R40">
        <f t="shared" si="16"/>
        <v>0.10000000000000014</v>
      </c>
    </row>
    <row r="41" spans="1:18" x14ac:dyDescent="0.25">
      <c r="A41" s="308"/>
      <c r="B41" s="316" t="s">
        <v>1</v>
      </c>
      <c r="C41" s="28" t="s">
        <v>9</v>
      </c>
      <c r="D41" s="312">
        <v>2</v>
      </c>
      <c r="E41" s="312"/>
      <c r="F41" s="312"/>
      <c r="G41" s="312"/>
      <c r="H41" s="313">
        <f>+H34</f>
        <v>2</v>
      </c>
      <c r="I41" s="312"/>
      <c r="J41" s="312"/>
      <c r="K41" s="312">
        <f>+H41</f>
        <v>2</v>
      </c>
      <c r="L41" s="314"/>
      <c r="M41" s="114">
        <f>+K41</f>
        <v>2</v>
      </c>
    </row>
    <row r="42" spans="1:18" x14ac:dyDescent="0.25">
      <c r="A42" s="308"/>
      <c r="B42" s="321" t="s">
        <v>104</v>
      </c>
      <c r="C42" s="28" t="s">
        <v>6</v>
      </c>
      <c r="D42" s="312">
        <v>8</v>
      </c>
      <c r="E42" s="312">
        <f>+D31</f>
        <v>5</v>
      </c>
      <c r="F42" s="312"/>
      <c r="G42" s="312"/>
      <c r="H42" s="313">
        <f>+E42+H34</f>
        <v>7</v>
      </c>
      <c r="I42" s="312">
        <f>+G31</f>
        <v>5</v>
      </c>
      <c r="J42" s="312"/>
      <c r="K42" s="312">
        <f>+H42-(9-I42)/2</f>
        <v>5</v>
      </c>
      <c r="L42" s="314"/>
      <c r="M42" s="114">
        <f>+K42</f>
        <v>5</v>
      </c>
    </row>
    <row r="43" spans="1:18" x14ac:dyDescent="0.25">
      <c r="A43" s="308"/>
      <c r="B43" s="321" t="s">
        <v>102</v>
      </c>
      <c r="C43" s="28" t="s">
        <v>7</v>
      </c>
      <c r="D43" s="312">
        <v>2</v>
      </c>
      <c r="E43" s="312"/>
      <c r="F43" s="312"/>
      <c r="G43" s="312"/>
      <c r="H43" s="313">
        <f>+H34</f>
        <v>2</v>
      </c>
      <c r="I43" s="312">
        <f>+G31</f>
        <v>5</v>
      </c>
      <c r="J43" s="312"/>
      <c r="K43" s="312">
        <f>+H43+(9-I43)/2</f>
        <v>4</v>
      </c>
      <c r="L43" s="315">
        <f>+K31</f>
        <v>5.0002000000000004</v>
      </c>
      <c r="M43" s="114">
        <f>+K43-(6-L43)/2</f>
        <v>3.5001000000000002</v>
      </c>
    </row>
    <row r="44" spans="1:18" ht="15.75" thickBot="1" x14ac:dyDescent="0.3">
      <c r="A44" s="308"/>
      <c r="B44" s="322" t="s">
        <v>103</v>
      </c>
      <c r="C44" s="323" t="s">
        <v>10</v>
      </c>
      <c r="D44" s="324">
        <v>8</v>
      </c>
      <c r="E44" s="324"/>
      <c r="F44" s="324"/>
      <c r="G44" s="324">
        <f>+D33</f>
        <v>5</v>
      </c>
      <c r="H44" s="325">
        <f>+G44+H34</f>
        <v>7</v>
      </c>
      <c r="I44" s="324"/>
      <c r="J44" s="324"/>
      <c r="K44" s="325">
        <f>+H44</f>
        <v>7</v>
      </c>
      <c r="L44" s="326">
        <f>+K31</f>
        <v>5.0002000000000004</v>
      </c>
      <c r="M44" s="116">
        <f>+K44+(6-L44)/2</f>
        <v>7.4999000000000002</v>
      </c>
    </row>
    <row r="45" spans="1:18" x14ac:dyDescent="0.25">
      <c r="A45" s="308"/>
      <c r="B45" s="308"/>
      <c r="C45" s="308"/>
      <c r="D45" s="308"/>
      <c r="E45" s="308"/>
      <c r="F45" s="308"/>
      <c r="G45" s="308"/>
      <c r="H45" s="308"/>
      <c r="I45" s="308"/>
      <c r="J45" s="308"/>
      <c r="K45" s="308"/>
      <c r="L45" s="308"/>
    </row>
    <row r="47" spans="1:18" x14ac:dyDescent="0.25">
      <c r="C47" s="132" t="s">
        <v>4</v>
      </c>
      <c r="D47" s="130">
        <v>1</v>
      </c>
      <c r="E47" s="130">
        <v>2</v>
      </c>
      <c r="F47" s="130">
        <v>3</v>
      </c>
      <c r="G47" s="130">
        <v>4</v>
      </c>
      <c r="H47" s="130">
        <v>5</v>
      </c>
      <c r="I47" s="130">
        <v>6</v>
      </c>
      <c r="J47" s="130">
        <v>7</v>
      </c>
    </row>
    <row r="48" spans="1:18" x14ac:dyDescent="0.25">
      <c r="C48" s="27" t="s">
        <v>9</v>
      </c>
      <c r="D48" s="131">
        <f>IF($K$17=D$47,$M36,0)</f>
        <v>0</v>
      </c>
      <c r="E48" s="131">
        <f t="shared" ref="E48:J48" si="17">IF($K$17=E$47,$M36,0)</f>
        <v>0</v>
      </c>
      <c r="F48" s="131">
        <f t="shared" si="17"/>
        <v>0</v>
      </c>
      <c r="G48" s="131">
        <f t="shared" si="17"/>
        <v>0</v>
      </c>
      <c r="H48" s="131">
        <f t="shared" si="17"/>
        <v>2</v>
      </c>
      <c r="I48" s="131">
        <f t="shared" si="17"/>
        <v>0</v>
      </c>
      <c r="J48" s="131">
        <f t="shared" si="17"/>
        <v>0</v>
      </c>
    </row>
    <row r="49" spans="3:12" x14ac:dyDescent="0.25">
      <c r="C49" s="27" t="s">
        <v>6</v>
      </c>
      <c r="D49" s="131">
        <f>IF($K$26=D$47,$M37,0)</f>
        <v>0</v>
      </c>
      <c r="E49" s="131">
        <f t="shared" ref="E49:J49" si="18">IF($K$26=E$47,$M37,0)</f>
        <v>0</v>
      </c>
      <c r="F49" s="131">
        <f t="shared" si="18"/>
        <v>0</v>
      </c>
      <c r="G49" s="131">
        <f t="shared" si="18"/>
        <v>5</v>
      </c>
      <c r="H49" s="131">
        <f t="shared" si="18"/>
        <v>0</v>
      </c>
      <c r="I49" s="131">
        <f t="shared" si="18"/>
        <v>0</v>
      </c>
      <c r="J49" s="131">
        <f t="shared" si="18"/>
        <v>0</v>
      </c>
    </row>
    <row r="50" spans="3:12" x14ac:dyDescent="0.25">
      <c r="C50" s="27" t="s">
        <v>7</v>
      </c>
      <c r="D50" s="131">
        <f>IF($K$27=D$47,$M38,0)</f>
        <v>0</v>
      </c>
      <c r="E50" s="131">
        <f t="shared" ref="E50:J50" si="19">IF($K$27=E$47,$M38,0)</f>
        <v>0</v>
      </c>
      <c r="F50" s="131">
        <f t="shared" si="19"/>
        <v>6.5000999999999998</v>
      </c>
      <c r="G50" s="131">
        <f t="shared" si="19"/>
        <v>0</v>
      </c>
      <c r="H50" s="131">
        <f t="shared" si="19"/>
        <v>0</v>
      </c>
      <c r="I50" s="131">
        <f t="shared" si="19"/>
        <v>0</v>
      </c>
      <c r="J50" s="131">
        <f t="shared" si="19"/>
        <v>0</v>
      </c>
    </row>
    <row r="51" spans="3:12" x14ac:dyDescent="0.25">
      <c r="C51" s="132" t="s">
        <v>10</v>
      </c>
      <c r="D51" s="131">
        <f>IF($L$31=D$47,$M39,0)</f>
        <v>4.4999000000000002</v>
      </c>
      <c r="E51" s="131">
        <f t="shared" ref="E51:J51" si="20">IF($L$31=E$47,$M39,0)</f>
        <v>0</v>
      </c>
      <c r="F51" s="131">
        <f t="shared" si="20"/>
        <v>0</v>
      </c>
      <c r="G51" s="131">
        <f t="shared" si="20"/>
        <v>0</v>
      </c>
      <c r="H51" s="131">
        <f t="shared" si="20"/>
        <v>0</v>
      </c>
      <c r="I51" s="131">
        <f t="shared" si="20"/>
        <v>0</v>
      </c>
      <c r="J51" s="131">
        <f t="shared" si="20"/>
        <v>0</v>
      </c>
    </row>
    <row r="52" spans="3:12" x14ac:dyDescent="0.25">
      <c r="C52" s="118"/>
      <c r="D52" s="119">
        <f>SUM(D48:D51)</f>
        <v>4.4999000000000002</v>
      </c>
      <c r="E52" s="119">
        <f t="shared" ref="E52:J52" si="21">SUM(E48:E51)</f>
        <v>0</v>
      </c>
      <c r="F52" s="119">
        <f t="shared" si="21"/>
        <v>6.5000999999999998</v>
      </c>
      <c r="G52" s="119">
        <f t="shared" si="21"/>
        <v>5</v>
      </c>
      <c r="H52" s="119">
        <f t="shared" si="21"/>
        <v>2</v>
      </c>
      <c r="I52" s="119">
        <f t="shared" si="21"/>
        <v>0</v>
      </c>
      <c r="J52" s="119">
        <f t="shared" si="21"/>
        <v>0</v>
      </c>
    </row>
    <row r="53" spans="3:12" x14ac:dyDescent="0.25">
      <c r="C53" s="132" t="s">
        <v>5</v>
      </c>
      <c r="D53" s="130">
        <v>1</v>
      </c>
      <c r="E53" s="130">
        <v>2</v>
      </c>
      <c r="F53" s="130">
        <v>3</v>
      </c>
      <c r="G53" s="130">
        <v>4</v>
      </c>
      <c r="H53" s="130">
        <v>5</v>
      </c>
      <c r="I53" s="130">
        <v>6</v>
      </c>
      <c r="J53" s="130">
        <v>7</v>
      </c>
    </row>
    <row r="54" spans="3:12" x14ac:dyDescent="0.25">
      <c r="C54" s="27" t="s">
        <v>9</v>
      </c>
      <c r="D54" s="131">
        <f>IF($K$17=D$47,$M41,0)</f>
        <v>0</v>
      </c>
      <c r="E54" s="131">
        <f t="shared" ref="E54:J54" si="22">IF($K$17=E$47,$M41,0)</f>
        <v>0</v>
      </c>
      <c r="F54" s="131">
        <f t="shared" si="22"/>
        <v>0</v>
      </c>
      <c r="G54" s="131">
        <f t="shared" si="22"/>
        <v>0</v>
      </c>
      <c r="H54" s="131">
        <f t="shared" si="22"/>
        <v>2</v>
      </c>
      <c r="I54" s="131">
        <f t="shared" si="22"/>
        <v>0</v>
      </c>
      <c r="J54" s="131">
        <f t="shared" si="22"/>
        <v>0</v>
      </c>
    </row>
    <row r="55" spans="3:12" x14ac:dyDescent="0.25">
      <c r="C55" s="27" t="s">
        <v>6</v>
      </c>
      <c r="D55" s="131">
        <f>IF($K$26=D$47,$M42,0)</f>
        <v>0</v>
      </c>
      <c r="E55" s="131">
        <f t="shared" ref="E55:J55" si="23">IF($K$26=E$47,$M42,0)</f>
        <v>0</v>
      </c>
      <c r="F55" s="131">
        <f t="shared" si="23"/>
        <v>0</v>
      </c>
      <c r="G55" s="131">
        <f t="shared" si="23"/>
        <v>5</v>
      </c>
      <c r="H55" s="131">
        <f t="shared" si="23"/>
        <v>0</v>
      </c>
      <c r="I55" s="131">
        <f t="shared" si="23"/>
        <v>0</v>
      </c>
      <c r="J55" s="131">
        <f t="shared" si="23"/>
        <v>0</v>
      </c>
    </row>
    <row r="56" spans="3:12" x14ac:dyDescent="0.25">
      <c r="C56" s="27" t="s">
        <v>7</v>
      </c>
      <c r="D56" s="131">
        <f>IF($K$27=D$47,$M43,0)</f>
        <v>0</v>
      </c>
      <c r="E56" s="131">
        <f t="shared" ref="E56:J56" si="24">IF($K$27=E$47,$M43,0)</f>
        <v>0</v>
      </c>
      <c r="F56" s="131">
        <f t="shared" si="24"/>
        <v>3.5001000000000002</v>
      </c>
      <c r="G56" s="131">
        <f t="shared" si="24"/>
        <v>0</v>
      </c>
      <c r="H56" s="131">
        <f t="shared" si="24"/>
        <v>0</v>
      </c>
      <c r="I56" s="131">
        <f t="shared" si="24"/>
        <v>0</v>
      </c>
      <c r="J56" s="131">
        <f t="shared" si="24"/>
        <v>0</v>
      </c>
    </row>
    <row r="57" spans="3:12" ht="15.75" thickBot="1" x14ac:dyDescent="0.3">
      <c r="C57" s="132" t="s">
        <v>10</v>
      </c>
      <c r="D57" s="131">
        <f>IF($L$31=D$47,$M44,0)</f>
        <v>7.4999000000000002</v>
      </c>
      <c r="E57" s="131">
        <f t="shared" ref="E57:J57" si="25">IF($L$31=E$47,$M44,0)</f>
        <v>0</v>
      </c>
      <c r="F57" s="131">
        <f t="shared" si="25"/>
        <v>0</v>
      </c>
      <c r="G57" s="131">
        <f t="shared" si="25"/>
        <v>0</v>
      </c>
      <c r="H57" s="131">
        <f t="shared" si="25"/>
        <v>0</v>
      </c>
      <c r="I57" s="131">
        <f t="shared" si="25"/>
        <v>0</v>
      </c>
      <c r="J57" s="131">
        <f t="shared" si="25"/>
        <v>0</v>
      </c>
    </row>
    <row r="58" spans="3:12" ht="15.75" thickBot="1" x14ac:dyDescent="0.3">
      <c r="C58" s="133"/>
      <c r="D58" s="120">
        <f>SUM(D54:D57)</f>
        <v>7.4999000000000002</v>
      </c>
      <c r="E58" s="120">
        <f t="shared" ref="E58:J58" si="26">SUM(E54:E57)</f>
        <v>0</v>
      </c>
      <c r="F58" s="120">
        <f t="shared" si="26"/>
        <v>3.5001000000000002</v>
      </c>
      <c r="G58" s="120">
        <f t="shared" si="26"/>
        <v>5</v>
      </c>
      <c r="H58" s="120">
        <f t="shared" si="26"/>
        <v>2</v>
      </c>
      <c r="I58" s="120">
        <f t="shared" si="26"/>
        <v>0</v>
      </c>
      <c r="J58" s="120">
        <f t="shared" si="26"/>
        <v>0</v>
      </c>
      <c r="L58" s="125" t="s">
        <v>106</v>
      </c>
    </row>
    <row r="59" spans="3:12" ht="15.75" thickBot="1" x14ac:dyDescent="0.3">
      <c r="C59" s="28" t="s">
        <v>106</v>
      </c>
      <c r="D59" s="121">
        <f>IF(D58=0,D53,0)</f>
        <v>0</v>
      </c>
      <c r="E59" s="122">
        <f t="shared" ref="E59:H59" si="27">IF(E58=0,E53,0)</f>
        <v>2</v>
      </c>
      <c r="F59" s="122">
        <f t="shared" si="27"/>
        <v>0</v>
      </c>
      <c r="G59" s="122">
        <f t="shared" si="27"/>
        <v>0</v>
      </c>
      <c r="H59" s="122">
        <f t="shared" si="27"/>
        <v>0</v>
      </c>
      <c r="I59" s="122"/>
      <c r="J59" s="123"/>
      <c r="L59" s="126">
        <f>MAX(D59:J59)</f>
        <v>2</v>
      </c>
    </row>
    <row r="60" spans="3:12" x14ac:dyDescent="0.25">
      <c r="C60" s="28"/>
      <c r="D60" s="2"/>
      <c r="E60" s="2"/>
      <c r="F60" s="2"/>
      <c r="G60" s="2"/>
      <c r="H60" s="2"/>
      <c r="I60" s="2"/>
      <c r="J60" s="2"/>
      <c r="L60" s="126">
        <f>MIN(D61:J61)</f>
        <v>2</v>
      </c>
    </row>
    <row r="61" spans="3:12" ht="15.75" thickBot="1" x14ac:dyDescent="0.3">
      <c r="C61" s="28"/>
      <c r="D61" s="2" t="str">
        <f>IF(D59&gt;0,D59,"  ")</f>
        <v xml:space="preserve">  </v>
      </c>
      <c r="E61" s="2">
        <f t="shared" ref="E61:J61" si="28">IF(E59&gt;0,E59,"  ")</f>
        <v>2</v>
      </c>
      <c r="F61" s="2" t="str">
        <f t="shared" si="28"/>
        <v xml:space="preserve">  </v>
      </c>
      <c r="G61" s="2" t="str">
        <f t="shared" si="28"/>
        <v xml:space="preserve">  </v>
      </c>
      <c r="H61" s="2" t="str">
        <f t="shared" si="28"/>
        <v xml:space="preserve">  </v>
      </c>
      <c r="I61" s="2" t="str">
        <f t="shared" si="28"/>
        <v xml:space="preserve">  </v>
      </c>
      <c r="J61" s="2" t="str">
        <f t="shared" si="28"/>
        <v xml:space="preserve">  </v>
      </c>
      <c r="L61" s="127">
        <f>MEDIAN(D61:J61)</f>
        <v>2</v>
      </c>
    </row>
    <row r="62" spans="3:12" x14ac:dyDescent="0.25">
      <c r="C62" s="28"/>
      <c r="D62" s="2"/>
      <c r="E62" s="2"/>
      <c r="F62" s="2"/>
      <c r="G62" s="2"/>
      <c r="H62" s="2"/>
      <c r="I62" s="2"/>
      <c r="J62" s="2"/>
    </row>
    <row r="63" spans="3:12" x14ac:dyDescent="0.25">
      <c r="C63" s="28"/>
      <c r="D63" s="2"/>
      <c r="E63" s="2"/>
      <c r="F63" s="2"/>
      <c r="G63" s="2"/>
      <c r="H63" s="2"/>
      <c r="I63" s="2"/>
      <c r="J63" s="2"/>
    </row>
    <row r="64" spans="3:12" x14ac:dyDescent="0.25">
      <c r="C64" s="28"/>
      <c r="D64" s="2"/>
      <c r="E64" s="2"/>
      <c r="F64" s="2"/>
      <c r="G64" s="2"/>
      <c r="H64" s="2"/>
      <c r="I64" s="2"/>
      <c r="J64" s="2"/>
    </row>
    <row r="65" spans="1:17" x14ac:dyDescent="0.25">
      <c r="C65" s="28"/>
      <c r="D65" s="2"/>
      <c r="E65" s="2"/>
      <c r="F65" s="2"/>
      <c r="G65" s="2"/>
      <c r="H65" s="2"/>
      <c r="I65" s="2"/>
      <c r="J65" s="2"/>
    </row>
    <row r="66" spans="1:17" x14ac:dyDescent="0.25">
      <c r="C66" s="28"/>
      <c r="D66" s="2"/>
      <c r="E66" s="2"/>
      <c r="F66" s="2"/>
      <c r="G66" s="2"/>
      <c r="H66" s="2"/>
      <c r="I66" s="2"/>
      <c r="J66" s="2"/>
    </row>
    <row r="68" spans="1:17" x14ac:dyDescent="0.25">
      <c r="A68" s="118"/>
      <c r="B68" s="118"/>
      <c r="C68" s="118"/>
      <c r="D68" s="118"/>
      <c r="E68" s="118"/>
      <c r="F68" s="118"/>
      <c r="G68" s="118"/>
      <c r="H68" s="118"/>
      <c r="I68" s="118"/>
      <c r="J68" s="118"/>
      <c r="K68" s="118"/>
      <c r="L68" s="118"/>
      <c r="M68" s="118"/>
      <c r="N68" s="118"/>
      <c r="O68" s="118"/>
      <c r="P68" s="118"/>
      <c r="Q68" s="118"/>
    </row>
    <row r="69" spans="1:17" x14ac:dyDescent="0.25">
      <c r="C69" t="s">
        <v>17</v>
      </c>
      <c r="D69">
        <f t="shared" ref="D69:J69" si="29">IF(D14=5,D2,0)</f>
        <v>1</v>
      </c>
      <c r="E69">
        <f t="shared" si="29"/>
        <v>0</v>
      </c>
      <c r="F69">
        <f t="shared" si="29"/>
        <v>0</v>
      </c>
      <c r="G69">
        <f t="shared" si="29"/>
        <v>0</v>
      </c>
      <c r="H69">
        <f t="shared" si="29"/>
        <v>0</v>
      </c>
      <c r="I69">
        <f t="shared" si="29"/>
        <v>0</v>
      </c>
      <c r="J69">
        <f t="shared" si="29"/>
        <v>0</v>
      </c>
      <c r="K69" s="124">
        <f>+L59</f>
        <v>2</v>
      </c>
    </row>
    <row r="70" spans="1:17" x14ac:dyDescent="0.25">
      <c r="C70" s="1"/>
    </row>
    <row r="71" spans="1:17" x14ac:dyDescent="0.25">
      <c r="B71" s="33" t="s">
        <v>19</v>
      </c>
      <c r="C71" s="1">
        <f>VLOOKUP(K17,five_brand_data,K69+2)</f>
        <v>5</v>
      </c>
      <c r="D71" s="2">
        <f>LOOKUP(C71,weights)</f>
        <v>20</v>
      </c>
      <c r="E71" s="36">
        <f>+D71/D$75</f>
        <v>0.25</v>
      </c>
      <c r="N71" s="4">
        <v>1</v>
      </c>
      <c r="O71" s="130">
        <v>100</v>
      </c>
    </row>
    <row r="72" spans="1:17" x14ac:dyDescent="0.25">
      <c r="B72" s="32" t="s">
        <v>20</v>
      </c>
      <c r="C72" s="1">
        <f>VLOOKUP(K26,five_brand_data,K69+2)</f>
        <v>5</v>
      </c>
      <c r="D72" s="2">
        <f>LOOKUP(C72,weights)</f>
        <v>20</v>
      </c>
      <c r="E72" s="36">
        <f>+D72/D$75</f>
        <v>0.25</v>
      </c>
      <c r="N72" s="4">
        <v>2</v>
      </c>
      <c r="O72" s="130">
        <v>80</v>
      </c>
    </row>
    <row r="73" spans="1:17" x14ac:dyDescent="0.25">
      <c r="B73" s="33" t="s">
        <v>21</v>
      </c>
      <c r="C73">
        <f>VLOOKUP(K27,five_brand_data,K69+2)</f>
        <v>5</v>
      </c>
      <c r="D73" s="2">
        <f>LOOKUP(C73,weights)</f>
        <v>20</v>
      </c>
      <c r="E73" s="36">
        <f>+D73/D$75</f>
        <v>0.25</v>
      </c>
      <c r="N73" s="4">
        <v>3</v>
      </c>
      <c r="O73" s="130">
        <v>60</v>
      </c>
    </row>
    <row r="74" spans="1:17" x14ac:dyDescent="0.25">
      <c r="B74" s="307" t="s">
        <v>22</v>
      </c>
      <c r="C74" s="5">
        <f>VLOOKUP(L31,five_brand_data,K69+2)</f>
        <v>5</v>
      </c>
      <c r="D74" s="2">
        <f>LOOKUP(C74,weights)</f>
        <v>20</v>
      </c>
      <c r="E74" s="36">
        <f>+D74/D$75</f>
        <v>0.25</v>
      </c>
      <c r="N74" s="4">
        <v>4</v>
      </c>
      <c r="O74" s="130">
        <v>40</v>
      </c>
    </row>
    <row r="75" spans="1:17" x14ac:dyDescent="0.25">
      <c r="D75" s="38">
        <f>SUM(D71:D74)</f>
        <v>80</v>
      </c>
      <c r="N75" s="4">
        <v>5</v>
      </c>
      <c r="O75" s="130">
        <v>20</v>
      </c>
    </row>
    <row r="76" spans="1:17" x14ac:dyDescent="0.25">
      <c r="B76" s="1"/>
      <c r="N76" s="4">
        <v>6</v>
      </c>
      <c r="O76" s="130">
        <v>10</v>
      </c>
    </row>
    <row r="77" spans="1:17" x14ac:dyDescent="0.25">
      <c r="C77" s="1" t="s">
        <v>11</v>
      </c>
      <c r="D77" s="2">
        <f t="shared" ref="D77:J77" si="30">+$E$71*D48</f>
        <v>0</v>
      </c>
      <c r="E77" s="2">
        <f t="shared" si="30"/>
        <v>0</v>
      </c>
      <c r="F77" s="2">
        <f t="shared" si="30"/>
        <v>0</v>
      </c>
      <c r="G77" s="2">
        <f t="shared" si="30"/>
        <v>0</v>
      </c>
      <c r="H77" s="2">
        <f t="shared" si="30"/>
        <v>0.5</v>
      </c>
      <c r="I77" s="2">
        <f t="shared" si="30"/>
        <v>0</v>
      </c>
      <c r="J77" s="2">
        <f t="shared" si="30"/>
        <v>0</v>
      </c>
      <c r="N77" s="4">
        <v>7</v>
      </c>
      <c r="O77" s="130">
        <v>5</v>
      </c>
    </row>
    <row r="78" spans="1:17" x14ac:dyDescent="0.25">
      <c r="C78" s="1" t="s">
        <v>12</v>
      </c>
      <c r="D78" s="2">
        <f t="shared" ref="D78:J78" si="31">+$E$72*D49</f>
        <v>0</v>
      </c>
      <c r="E78" s="2">
        <f t="shared" si="31"/>
        <v>0</v>
      </c>
      <c r="F78" s="2">
        <f t="shared" si="31"/>
        <v>0</v>
      </c>
      <c r="G78" s="2">
        <f t="shared" si="31"/>
        <v>1.25</v>
      </c>
      <c r="H78" s="2">
        <f t="shared" si="31"/>
        <v>0</v>
      </c>
      <c r="I78" s="2">
        <f t="shared" si="31"/>
        <v>0</v>
      </c>
      <c r="J78" s="2">
        <f t="shared" si="31"/>
        <v>0</v>
      </c>
      <c r="N78" s="4">
        <v>8</v>
      </c>
      <c r="O78" s="130">
        <v>5</v>
      </c>
    </row>
    <row r="79" spans="1:17" x14ac:dyDescent="0.25">
      <c r="C79" s="1" t="s">
        <v>13</v>
      </c>
      <c r="D79" s="2">
        <f t="shared" ref="D79:J79" si="32">+$E$73*D50</f>
        <v>0</v>
      </c>
      <c r="E79" s="2">
        <f t="shared" si="32"/>
        <v>0</v>
      </c>
      <c r="F79" s="2">
        <f t="shared" si="32"/>
        <v>1.6250249999999999</v>
      </c>
      <c r="G79" s="2">
        <f t="shared" si="32"/>
        <v>0</v>
      </c>
      <c r="H79" s="2">
        <f t="shared" si="32"/>
        <v>0</v>
      </c>
      <c r="I79" s="2">
        <f t="shared" si="32"/>
        <v>0</v>
      </c>
      <c r="J79" s="2">
        <f t="shared" si="32"/>
        <v>0</v>
      </c>
      <c r="N79" s="4">
        <v>9</v>
      </c>
      <c r="O79" s="130">
        <v>5</v>
      </c>
    </row>
    <row r="80" spans="1:17" x14ac:dyDescent="0.25">
      <c r="C80" s="1" t="s">
        <v>18</v>
      </c>
      <c r="D80" s="2">
        <f t="shared" ref="D80:J80" si="33">+$E$74*D51</f>
        <v>1.1249750000000001</v>
      </c>
      <c r="E80" s="2">
        <f t="shared" si="33"/>
        <v>0</v>
      </c>
      <c r="F80" s="2">
        <f t="shared" si="33"/>
        <v>0</v>
      </c>
      <c r="G80" s="2">
        <f t="shared" si="33"/>
        <v>0</v>
      </c>
      <c r="H80" s="2">
        <f t="shared" si="33"/>
        <v>0</v>
      </c>
      <c r="I80" s="2">
        <f t="shared" si="33"/>
        <v>0</v>
      </c>
      <c r="J80" s="2">
        <f t="shared" si="33"/>
        <v>0</v>
      </c>
      <c r="K80" s="38">
        <f>SUM(D77:J80)</f>
        <v>4.5</v>
      </c>
    </row>
    <row r="82" spans="2:15" x14ac:dyDescent="0.25">
      <c r="C82" s="1" t="s">
        <v>14</v>
      </c>
      <c r="D82" s="2">
        <f t="shared" ref="D82:J82" si="34">+$E$71*D54</f>
        <v>0</v>
      </c>
      <c r="E82" s="2">
        <f t="shared" si="34"/>
        <v>0</v>
      </c>
      <c r="F82" s="2">
        <f t="shared" si="34"/>
        <v>0</v>
      </c>
      <c r="G82" s="2">
        <f t="shared" si="34"/>
        <v>0</v>
      </c>
      <c r="H82" s="2">
        <f t="shared" si="34"/>
        <v>0.5</v>
      </c>
      <c r="I82" s="2">
        <f t="shared" si="34"/>
        <v>0</v>
      </c>
      <c r="J82" s="2">
        <f t="shared" si="34"/>
        <v>0</v>
      </c>
      <c r="K82" s="2"/>
    </row>
    <row r="83" spans="2:15" x14ac:dyDescent="0.25">
      <c r="C83" s="1" t="s">
        <v>15</v>
      </c>
      <c r="D83" s="2">
        <f t="shared" ref="D83:J83" si="35">+$E$72*D55</f>
        <v>0</v>
      </c>
      <c r="E83" s="2">
        <f t="shared" si="35"/>
        <v>0</v>
      </c>
      <c r="F83" s="2">
        <f t="shared" si="35"/>
        <v>0</v>
      </c>
      <c r="G83" s="2">
        <f t="shared" si="35"/>
        <v>1.25</v>
      </c>
      <c r="H83" s="2">
        <f t="shared" si="35"/>
        <v>0</v>
      </c>
      <c r="I83" s="2">
        <f t="shared" si="35"/>
        <v>0</v>
      </c>
      <c r="J83" s="2">
        <f t="shared" si="35"/>
        <v>0</v>
      </c>
      <c r="K83" s="2"/>
    </row>
    <row r="84" spans="2:15" x14ac:dyDescent="0.25">
      <c r="C84" s="1" t="s">
        <v>16</v>
      </c>
      <c r="D84" s="2">
        <f t="shared" ref="D84:J84" si="36">+$E$73*D56</f>
        <v>0</v>
      </c>
      <c r="E84" s="2">
        <f t="shared" si="36"/>
        <v>0</v>
      </c>
      <c r="F84" s="2">
        <f t="shared" si="36"/>
        <v>0.87502500000000005</v>
      </c>
      <c r="G84" s="2">
        <f t="shared" si="36"/>
        <v>0</v>
      </c>
      <c r="H84" s="2">
        <f t="shared" si="36"/>
        <v>0</v>
      </c>
      <c r="I84" s="2">
        <f t="shared" si="36"/>
        <v>0</v>
      </c>
      <c r="J84" s="2">
        <f t="shared" si="36"/>
        <v>0</v>
      </c>
      <c r="K84" s="2"/>
    </row>
    <row r="85" spans="2:15" x14ac:dyDescent="0.25">
      <c r="C85" s="1" t="s">
        <v>23</v>
      </c>
      <c r="D85" s="2">
        <f t="shared" ref="D85:J85" si="37">+$E$74*D57</f>
        <v>1.8749750000000001</v>
      </c>
      <c r="E85" s="2">
        <f t="shared" si="37"/>
        <v>0</v>
      </c>
      <c r="F85" s="2">
        <f t="shared" si="37"/>
        <v>0</v>
      </c>
      <c r="G85" s="2">
        <f t="shared" si="37"/>
        <v>0</v>
      </c>
      <c r="H85" s="2">
        <f t="shared" si="37"/>
        <v>0</v>
      </c>
      <c r="I85" s="2">
        <f t="shared" si="37"/>
        <v>0</v>
      </c>
      <c r="J85" s="2">
        <f t="shared" si="37"/>
        <v>0</v>
      </c>
      <c r="K85" s="38">
        <f>SUM(D82:J85)</f>
        <v>4.5</v>
      </c>
    </row>
    <row r="87" spans="2:15" x14ac:dyDescent="0.25">
      <c r="B87" s="27" t="s">
        <v>17</v>
      </c>
      <c r="C87" s="27" t="s">
        <v>4</v>
      </c>
      <c r="D87" s="131">
        <f t="shared" ref="D87:J87" si="38">IF($K69=D2,$K80,0)</f>
        <v>0</v>
      </c>
      <c r="E87" s="131">
        <f t="shared" si="38"/>
        <v>4.5</v>
      </c>
      <c r="F87" s="131">
        <f t="shared" si="38"/>
        <v>0</v>
      </c>
      <c r="G87" s="131">
        <f t="shared" si="38"/>
        <v>0</v>
      </c>
      <c r="H87" s="131">
        <f t="shared" si="38"/>
        <v>0</v>
      </c>
      <c r="I87" s="131">
        <f t="shared" si="38"/>
        <v>0</v>
      </c>
      <c r="J87" s="131">
        <f t="shared" si="38"/>
        <v>0</v>
      </c>
    </row>
    <row r="88" spans="2:15" x14ac:dyDescent="0.25">
      <c r="B88" s="4"/>
      <c r="C88" s="27" t="s">
        <v>5</v>
      </c>
      <c r="D88" s="131">
        <f t="shared" ref="D88:J88" si="39">IF($K69=D2,$K85,0)</f>
        <v>0</v>
      </c>
      <c r="E88" s="131">
        <f t="shared" si="39"/>
        <v>4.5</v>
      </c>
      <c r="F88" s="131">
        <f t="shared" si="39"/>
        <v>0</v>
      </c>
      <c r="G88" s="131">
        <f t="shared" si="39"/>
        <v>0</v>
      </c>
      <c r="H88" s="131">
        <f t="shared" si="39"/>
        <v>0</v>
      </c>
      <c r="I88" s="131">
        <f t="shared" si="39"/>
        <v>0</v>
      </c>
      <c r="J88" s="131">
        <f t="shared" si="39"/>
        <v>0</v>
      </c>
    </row>
    <row r="90" spans="2:15" ht="15.75" thickBot="1" x14ac:dyDescent="0.3">
      <c r="D90" s="130">
        <v>1</v>
      </c>
      <c r="E90" s="130">
        <v>2</v>
      </c>
      <c r="F90" s="130">
        <v>3</v>
      </c>
      <c r="G90" s="130">
        <v>4</v>
      </c>
      <c r="H90" s="130">
        <v>5</v>
      </c>
      <c r="I90" s="130">
        <v>6</v>
      </c>
      <c r="J90" s="130">
        <v>7</v>
      </c>
    </row>
    <row r="91" spans="2:15" x14ac:dyDescent="0.25">
      <c r="C91" s="132" t="s">
        <v>4</v>
      </c>
      <c r="D91" s="37">
        <f t="shared" ref="D91:J91" si="40">+D87+D52</f>
        <v>4.4999000000000002</v>
      </c>
      <c r="E91" s="37">
        <f t="shared" si="40"/>
        <v>4.5</v>
      </c>
      <c r="F91" s="37">
        <f t="shared" si="40"/>
        <v>6.5000999999999998</v>
      </c>
      <c r="G91" s="37">
        <f t="shared" si="40"/>
        <v>5</v>
      </c>
      <c r="H91" s="37">
        <f t="shared" si="40"/>
        <v>2</v>
      </c>
      <c r="I91" s="37">
        <f t="shared" si="40"/>
        <v>0</v>
      </c>
      <c r="J91" s="37">
        <f t="shared" si="40"/>
        <v>0</v>
      </c>
      <c r="N91" s="195">
        <f>+D91</f>
        <v>4.4999000000000002</v>
      </c>
      <c r="O91" s="196">
        <f>+D92</f>
        <v>7.4999000000000002</v>
      </c>
    </row>
    <row r="92" spans="2:15" x14ac:dyDescent="0.25">
      <c r="C92" s="27" t="s">
        <v>5</v>
      </c>
      <c r="D92" s="37">
        <f t="shared" ref="D92:J92" si="41">+D88+D58</f>
        <v>7.4999000000000002</v>
      </c>
      <c r="E92" s="37">
        <f t="shared" si="41"/>
        <v>4.5</v>
      </c>
      <c r="F92" s="37">
        <f t="shared" si="41"/>
        <v>3.5001000000000002</v>
      </c>
      <c r="G92" s="37">
        <f t="shared" si="41"/>
        <v>5</v>
      </c>
      <c r="H92" s="37">
        <f t="shared" si="41"/>
        <v>2</v>
      </c>
      <c r="I92" s="37">
        <f t="shared" si="41"/>
        <v>0</v>
      </c>
      <c r="J92" s="37">
        <f t="shared" si="41"/>
        <v>0</v>
      </c>
      <c r="N92" s="197">
        <f>+E91</f>
        <v>4.5</v>
      </c>
      <c r="O92" s="198">
        <f>+E92</f>
        <v>4.5</v>
      </c>
    </row>
    <row r="93" spans="2:15" x14ac:dyDescent="0.25">
      <c r="N93" s="197">
        <f>+F91</f>
        <v>6.5000999999999998</v>
      </c>
      <c r="O93" s="198">
        <f>+F92</f>
        <v>3.5001000000000002</v>
      </c>
    </row>
    <row r="94" spans="2:15" x14ac:dyDescent="0.25">
      <c r="N94" s="197">
        <f>+G91</f>
        <v>5</v>
      </c>
      <c r="O94" s="198">
        <f>+G92</f>
        <v>5</v>
      </c>
    </row>
    <row r="95" spans="2:15" ht="15.75" thickBot="1" x14ac:dyDescent="0.3">
      <c r="C95" s="6" t="s">
        <v>153</v>
      </c>
      <c r="N95" s="199">
        <f>+H91</f>
        <v>2</v>
      </c>
      <c r="O95" s="200">
        <f>+H92</f>
        <v>2</v>
      </c>
    </row>
    <row r="97" spans="2:11" x14ac:dyDescent="0.25">
      <c r="K97" s="124"/>
    </row>
    <row r="99" spans="2:11" x14ac:dyDescent="0.25">
      <c r="B99" s="33"/>
      <c r="E99" s="39"/>
    </row>
    <row r="100" spans="2:11" x14ac:dyDescent="0.25">
      <c r="B100" s="32"/>
      <c r="E100" s="39"/>
    </row>
    <row r="101" spans="2:11" x14ac:dyDescent="0.25">
      <c r="B101" s="33"/>
      <c r="E101" s="39"/>
    </row>
    <row r="102" spans="2:11" x14ac:dyDescent="0.25">
      <c r="B102" s="32"/>
      <c r="E102" s="39"/>
    </row>
    <row r="103" spans="2:11" x14ac:dyDescent="0.25">
      <c r="B103" s="33"/>
      <c r="E103" s="39"/>
    </row>
    <row r="106" spans="2:11" x14ac:dyDescent="0.25">
      <c r="C106" s="1"/>
      <c r="D106" s="2"/>
      <c r="E106" s="2"/>
      <c r="F106" s="2"/>
      <c r="G106" s="2"/>
      <c r="H106" s="2"/>
      <c r="I106" s="2"/>
      <c r="J106" s="2"/>
    </row>
    <row r="107" spans="2:11" x14ac:dyDescent="0.25">
      <c r="C107" s="1"/>
      <c r="D107" s="2"/>
      <c r="E107" s="2"/>
      <c r="F107" s="2"/>
      <c r="G107" s="2"/>
      <c r="H107" s="2"/>
      <c r="I107" s="2"/>
      <c r="J107" s="2"/>
    </row>
    <row r="108" spans="2:11" x14ac:dyDescent="0.25">
      <c r="C108" s="1"/>
      <c r="D108" s="2"/>
      <c r="E108" s="2"/>
      <c r="F108" s="2"/>
      <c r="G108" s="2"/>
      <c r="H108" s="2"/>
      <c r="I108" s="2"/>
      <c r="J108" s="2"/>
    </row>
    <row r="109" spans="2:11" x14ac:dyDescent="0.25">
      <c r="C109" s="1"/>
      <c r="D109" s="2"/>
      <c r="E109" s="2"/>
      <c r="F109" s="2"/>
      <c r="G109" s="2"/>
      <c r="H109" s="2"/>
      <c r="I109" s="2"/>
      <c r="J109" s="2"/>
    </row>
    <row r="110" spans="2:11" x14ac:dyDescent="0.25">
      <c r="C110" s="1"/>
      <c r="D110" s="2"/>
      <c r="E110" s="2"/>
      <c r="F110" s="2"/>
      <c r="G110" s="2"/>
      <c r="H110" s="2"/>
      <c r="I110" s="2"/>
      <c r="J110" s="2"/>
      <c r="K110" s="38"/>
    </row>
    <row r="112" spans="2:11" x14ac:dyDescent="0.25">
      <c r="C112" s="1"/>
      <c r="D112" s="2"/>
      <c r="E112" s="2"/>
      <c r="F112" s="2"/>
      <c r="G112" s="2"/>
      <c r="H112" s="2"/>
      <c r="I112" s="2"/>
      <c r="J112" s="2"/>
    </row>
    <row r="113" spans="2:11" x14ac:dyDescent="0.25">
      <c r="C113" s="1"/>
      <c r="D113" s="2"/>
      <c r="E113" s="2"/>
      <c r="F113" s="2"/>
      <c r="G113" s="2"/>
      <c r="H113" s="2"/>
      <c r="I113" s="2"/>
      <c r="J113" s="2"/>
    </row>
    <row r="114" spans="2:11" x14ac:dyDescent="0.25">
      <c r="C114" s="1"/>
      <c r="D114" s="2"/>
      <c r="E114" s="2"/>
      <c r="F114" s="2"/>
      <c r="G114" s="2"/>
      <c r="H114" s="2"/>
      <c r="I114" s="2"/>
      <c r="J114" s="2"/>
    </row>
    <row r="115" spans="2:11" x14ac:dyDescent="0.25">
      <c r="C115" s="1"/>
      <c r="D115" s="2"/>
      <c r="E115" s="2"/>
      <c r="F115" s="2"/>
      <c r="G115" s="2"/>
      <c r="H115" s="2"/>
      <c r="I115" s="2"/>
      <c r="J115" s="2"/>
    </row>
    <row r="116" spans="2:11" x14ac:dyDescent="0.25">
      <c r="C116" s="1"/>
      <c r="D116" s="2"/>
      <c r="E116" s="2"/>
      <c r="F116" s="2"/>
      <c r="G116" s="2"/>
      <c r="H116" s="2"/>
      <c r="I116" s="2"/>
      <c r="J116" s="2"/>
      <c r="K116" s="38"/>
    </row>
    <row r="118" spans="2:11" x14ac:dyDescent="0.25">
      <c r="B118" s="27"/>
      <c r="C118" s="27"/>
      <c r="D118" s="131"/>
      <c r="E118" s="131"/>
      <c r="F118" s="131"/>
      <c r="G118" s="131"/>
      <c r="H118" s="131"/>
      <c r="I118" s="131"/>
      <c r="J118" s="131"/>
    </row>
    <row r="119" spans="2:11" x14ac:dyDescent="0.25">
      <c r="B119" s="4"/>
      <c r="C119" s="27"/>
      <c r="D119" s="131"/>
      <c r="E119" s="131"/>
      <c r="F119" s="131"/>
      <c r="G119" s="131"/>
      <c r="H119" s="131"/>
      <c r="I119" s="131"/>
      <c r="J119" s="131"/>
    </row>
    <row r="120" spans="2:11" x14ac:dyDescent="0.25">
      <c r="B120" s="4"/>
      <c r="C120" s="4"/>
      <c r="D120" s="4"/>
      <c r="E120" s="4"/>
      <c r="F120" s="4"/>
      <c r="G120" s="4"/>
      <c r="H120" s="4"/>
      <c r="I120" s="4"/>
      <c r="J120" s="4"/>
    </row>
    <row r="122" spans="2:11" x14ac:dyDescent="0.25">
      <c r="K122" s="124"/>
    </row>
    <row r="124" spans="2:11" x14ac:dyDescent="0.25">
      <c r="B124" s="32"/>
      <c r="E124" s="39"/>
    </row>
    <row r="125" spans="2:11" x14ac:dyDescent="0.25">
      <c r="B125" s="32"/>
      <c r="E125" s="39"/>
    </row>
    <row r="126" spans="2:11" x14ac:dyDescent="0.25">
      <c r="B126" s="32"/>
      <c r="E126" s="39"/>
    </row>
    <row r="127" spans="2:11" x14ac:dyDescent="0.25">
      <c r="B127" s="32"/>
      <c r="E127" s="39"/>
    </row>
    <row r="128" spans="2:11" x14ac:dyDescent="0.25">
      <c r="B128" s="32"/>
      <c r="E128" s="39"/>
    </row>
    <row r="129" spans="2:11" x14ac:dyDescent="0.25">
      <c r="B129" s="32"/>
      <c r="E129" s="39"/>
    </row>
    <row r="132" spans="2:11" x14ac:dyDescent="0.25">
      <c r="C132" s="1"/>
      <c r="D132" s="2"/>
      <c r="E132" s="2"/>
      <c r="F132" s="2"/>
      <c r="G132" s="2"/>
      <c r="H132" s="2"/>
      <c r="I132" s="2"/>
      <c r="J132" s="2"/>
    </row>
    <row r="133" spans="2:11" x14ac:dyDescent="0.25">
      <c r="C133" s="1"/>
      <c r="D133" s="2"/>
      <c r="E133" s="2"/>
      <c r="F133" s="2"/>
      <c r="G133" s="2"/>
      <c r="H133" s="2"/>
      <c r="I133" s="2"/>
      <c r="J133" s="2"/>
    </row>
    <row r="134" spans="2:11" x14ac:dyDescent="0.25">
      <c r="C134" s="1"/>
      <c r="D134" s="2"/>
      <c r="E134" s="2"/>
      <c r="F134" s="2"/>
      <c r="G134" s="2"/>
      <c r="H134" s="2"/>
      <c r="I134" s="2"/>
      <c r="J134" s="2"/>
    </row>
    <row r="135" spans="2:11" x14ac:dyDescent="0.25">
      <c r="C135" s="1"/>
      <c r="D135" s="2"/>
      <c r="E135" s="2"/>
      <c r="F135" s="2"/>
      <c r="G135" s="2"/>
      <c r="H135" s="2"/>
      <c r="I135" s="2"/>
      <c r="J135" s="2"/>
    </row>
    <row r="136" spans="2:11" x14ac:dyDescent="0.25">
      <c r="C136" s="1"/>
      <c r="D136" s="37"/>
      <c r="E136" s="37"/>
      <c r="F136" s="37"/>
      <c r="G136" s="37"/>
      <c r="H136" s="37"/>
      <c r="I136" s="37"/>
      <c r="J136" s="37"/>
    </row>
    <row r="137" spans="2:11" x14ac:dyDescent="0.25">
      <c r="C137" s="1"/>
      <c r="D137" s="37"/>
      <c r="E137" s="37"/>
      <c r="F137" s="37"/>
      <c r="G137" s="37"/>
      <c r="H137" s="37"/>
      <c r="I137" s="37"/>
      <c r="J137" s="37"/>
      <c r="K137" s="38"/>
    </row>
    <row r="139" spans="2:11" x14ac:dyDescent="0.25">
      <c r="C139" s="1"/>
      <c r="D139" s="2"/>
      <c r="E139" s="2"/>
      <c r="F139" s="2"/>
      <c r="G139" s="2"/>
      <c r="H139" s="2"/>
      <c r="I139" s="2"/>
      <c r="J139" s="2"/>
    </row>
    <row r="140" spans="2:11" x14ac:dyDescent="0.25">
      <c r="C140" s="1"/>
      <c r="D140" s="2"/>
      <c r="E140" s="2"/>
      <c r="F140" s="2"/>
      <c r="G140" s="2"/>
      <c r="H140" s="2"/>
      <c r="I140" s="2"/>
      <c r="J140" s="2"/>
    </row>
    <row r="141" spans="2:11" x14ac:dyDescent="0.25">
      <c r="C141" s="1"/>
      <c r="D141" s="2"/>
      <c r="E141" s="2"/>
      <c r="F141" s="2"/>
      <c r="G141" s="2"/>
      <c r="H141" s="2"/>
      <c r="I141" s="2"/>
      <c r="J141" s="2"/>
    </row>
    <row r="142" spans="2:11" x14ac:dyDescent="0.25">
      <c r="C142" s="1"/>
      <c r="D142" s="2"/>
      <c r="E142" s="2"/>
      <c r="F142" s="2"/>
      <c r="G142" s="2"/>
      <c r="H142" s="2"/>
      <c r="I142" s="2"/>
      <c r="J142" s="2"/>
    </row>
    <row r="143" spans="2:11" x14ac:dyDescent="0.25">
      <c r="C143" s="1"/>
      <c r="D143" s="37"/>
      <c r="E143" s="37"/>
      <c r="F143" s="37"/>
      <c r="G143" s="37"/>
      <c r="H143" s="37"/>
      <c r="I143" s="37"/>
      <c r="J143" s="37"/>
    </row>
    <row r="144" spans="2:11" x14ac:dyDescent="0.25">
      <c r="C144" s="1"/>
      <c r="D144" s="37"/>
      <c r="E144" s="37"/>
      <c r="F144" s="37"/>
      <c r="G144" s="37"/>
      <c r="H144" s="37"/>
      <c r="I144" s="37"/>
      <c r="J144" s="37"/>
      <c r="K144" s="38"/>
    </row>
    <row r="147" spans="2:11" x14ac:dyDescent="0.25">
      <c r="B147" s="27"/>
      <c r="C147" s="27"/>
      <c r="D147" s="131"/>
      <c r="E147" s="131"/>
      <c r="F147" s="131"/>
      <c r="G147" s="131"/>
      <c r="H147" s="131"/>
      <c r="I147" s="131"/>
      <c r="J147" s="131"/>
      <c r="K147" s="131"/>
    </row>
    <row r="148" spans="2:11" x14ac:dyDescent="0.25">
      <c r="B148" s="4"/>
      <c r="C148" s="27"/>
      <c r="D148" s="131"/>
      <c r="E148" s="131"/>
      <c r="F148" s="131"/>
      <c r="G148" s="131"/>
      <c r="H148" s="131"/>
      <c r="I148" s="131"/>
      <c r="J148" s="131"/>
      <c r="K148" s="131"/>
    </row>
    <row r="149" spans="2:11" ht="15.75" thickBot="1" x14ac:dyDescent="0.3"/>
    <row r="150" spans="2:11" x14ac:dyDescent="0.25">
      <c r="B150" s="136"/>
      <c r="C150" s="134"/>
      <c r="D150" s="134"/>
      <c r="E150" s="134"/>
      <c r="F150" s="134"/>
      <c r="G150" s="134"/>
      <c r="H150" s="134"/>
      <c r="I150" s="134"/>
      <c r="J150" s="135"/>
      <c r="K150" s="135"/>
    </row>
    <row r="151" spans="2:11" x14ac:dyDescent="0.25">
      <c r="B151" s="137"/>
      <c r="C151" s="138"/>
      <c r="D151" s="139"/>
      <c r="E151" s="139"/>
      <c r="F151" s="139"/>
      <c r="G151" s="139"/>
      <c r="H151" s="139"/>
      <c r="I151" s="139"/>
      <c r="J151" s="139"/>
      <c r="K151" s="140"/>
    </row>
    <row r="152" spans="2:11" ht="15.75" thickBot="1" x14ac:dyDescent="0.3">
      <c r="B152" s="141"/>
      <c r="C152" s="142"/>
      <c r="D152" s="143"/>
      <c r="E152" s="143"/>
      <c r="F152" s="143"/>
      <c r="G152" s="143"/>
      <c r="H152" s="143"/>
      <c r="I152" s="143"/>
      <c r="J152" s="143"/>
      <c r="K152" s="144"/>
    </row>
    <row r="155" spans="2:11" x14ac:dyDescent="0.25">
      <c r="E155" s="37"/>
      <c r="F155" s="37"/>
    </row>
    <row r="156" spans="2:11" x14ac:dyDescent="0.25">
      <c r="E156" s="37"/>
      <c r="F156" s="37"/>
    </row>
    <row r="157" spans="2:11" x14ac:dyDescent="0.25">
      <c r="E157" s="37"/>
      <c r="F157" s="37"/>
    </row>
    <row r="158" spans="2:11" x14ac:dyDescent="0.25">
      <c r="E158" s="37"/>
      <c r="F158" s="37"/>
    </row>
    <row r="159" spans="2:11" x14ac:dyDescent="0.25">
      <c r="E159" s="37"/>
      <c r="F159" s="37"/>
    </row>
    <row r="160" spans="2:11" x14ac:dyDescent="0.25">
      <c r="E160" s="37"/>
      <c r="F160" s="37"/>
    </row>
    <row r="161" spans="5:6" x14ac:dyDescent="0.25">
      <c r="E161" s="37"/>
      <c r="F161" s="37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V38"/>
  <sheetViews>
    <sheetView workbookViewId="0"/>
  </sheetViews>
  <sheetFormatPr defaultRowHeight="15" x14ac:dyDescent="0.25"/>
  <cols>
    <col min="2" max="2" width="5" customWidth="1"/>
    <col min="3" max="3" width="14.42578125" bestFit="1" customWidth="1"/>
    <col min="4" max="4" width="44.5703125" customWidth="1"/>
    <col min="5" max="5" width="14.140625" customWidth="1"/>
    <col min="6" max="6" width="14" customWidth="1"/>
    <col min="7" max="7" width="17.7109375" customWidth="1"/>
  </cols>
  <sheetData>
    <row r="1" spans="3:22" ht="15.75" thickBot="1" x14ac:dyDescent="0.3"/>
    <row r="2" spans="3:22" ht="24" thickBot="1" x14ac:dyDescent="0.4">
      <c r="C2" s="259" t="s">
        <v>145</v>
      </c>
      <c r="D2" s="260"/>
      <c r="E2" s="260"/>
      <c r="F2" s="260"/>
      <c r="G2" s="260"/>
      <c r="H2" s="261"/>
    </row>
    <row r="3" spans="3:22" ht="15.75" thickBot="1" x14ac:dyDescent="0.3"/>
    <row r="4" spans="3:22" ht="19.5" thickBot="1" x14ac:dyDescent="0.35">
      <c r="C4" s="217" t="s">
        <v>126</v>
      </c>
      <c r="D4" s="217" t="s">
        <v>156</v>
      </c>
      <c r="Q4" s="220"/>
      <c r="R4" s="221" t="s">
        <v>167</v>
      </c>
      <c r="S4" s="222"/>
      <c r="T4" s="222"/>
      <c r="U4" s="223"/>
    </row>
    <row r="5" spans="3:22" x14ac:dyDescent="0.25">
      <c r="C5" s="204"/>
      <c r="D5" s="178" t="s">
        <v>128</v>
      </c>
      <c r="Q5" s="224"/>
      <c r="R5" s="225"/>
      <c r="S5" s="225"/>
      <c r="T5" s="225"/>
      <c r="U5" s="226"/>
    </row>
    <row r="6" spans="3:22" x14ac:dyDescent="0.25">
      <c r="C6" s="329">
        <v>1</v>
      </c>
      <c r="D6" s="181" t="s">
        <v>108</v>
      </c>
      <c r="G6" s="179" t="s">
        <v>49</v>
      </c>
      <c r="Q6" s="224">
        <v>1</v>
      </c>
      <c r="R6" s="225" t="s">
        <v>168</v>
      </c>
      <c r="S6" s="225"/>
      <c r="T6" s="225"/>
      <c r="U6" s="226"/>
    </row>
    <row r="7" spans="3:22" x14ac:dyDescent="0.25">
      <c r="C7" s="329">
        <v>2</v>
      </c>
      <c r="D7" s="181" t="s">
        <v>109</v>
      </c>
      <c r="G7" s="179" t="s">
        <v>158</v>
      </c>
      <c r="Q7" s="224">
        <v>2</v>
      </c>
      <c r="R7" s="225" t="s">
        <v>169</v>
      </c>
      <c r="S7" s="225"/>
      <c r="T7" s="225"/>
      <c r="U7" s="226"/>
    </row>
    <row r="8" spans="3:22" x14ac:dyDescent="0.25">
      <c r="C8" s="329">
        <v>3</v>
      </c>
      <c r="D8" s="181" t="s">
        <v>143</v>
      </c>
      <c r="Q8" s="224">
        <v>3</v>
      </c>
      <c r="R8" s="225" t="s">
        <v>170</v>
      </c>
      <c r="S8" s="225"/>
      <c r="T8" s="225"/>
      <c r="U8" s="226"/>
    </row>
    <row r="9" spans="3:22" ht="15.75" thickBot="1" x14ac:dyDescent="0.3">
      <c r="C9" s="329">
        <v>4</v>
      </c>
      <c r="D9" s="181" t="s">
        <v>144</v>
      </c>
      <c r="Q9" s="227"/>
      <c r="R9" s="228"/>
      <c r="S9" s="228"/>
      <c r="T9" s="228"/>
      <c r="U9" s="229"/>
    </row>
    <row r="10" spans="3:22" x14ac:dyDescent="0.25">
      <c r="C10" s="329">
        <v>5</v>
      </c>
      <c r="D10" s="181" t="s">
        <v>110</v>
      </c>
      <c r="R10" s="15"/>
      <c r="S10" s="15"/>
      <c r="T10" s="15"/>
    </row>
    <row r="11" spans="3:22" ht="15.75" thickBot="1" x14ac:dyDescent="0.3">
      <c r="C11" s="330">
        <v>6</v>
      </c>
      <c r="D11" s="181" t="s">
        <v>157</v>
      </c>
      <c r="R11" s="239"/>
      <c r="S11" s="240"/>
      <c r="T11" s="241"/>
    </row>
    <row r="12" spans="3:22" ht="19.5" thickBot="1" x14ac:dyDescent="0.35">
      <c r="C12" s="217" t="s">
        <v>129</v>
      </c>
      <c r="D12" s="218" t="s">
        <v>132</v>
      </c>
      <c r="E12" s="262" t="s">
        <v>141</v>
      </c>
      <c r="F12" s="263"/>
      <c r="G12" s="189" t="s">
        <v>142</v>
      </c>
      <c r="R12" s="242"/>
      <c r="S12" s="194" t="s">
        <v>154</v>
      </c>
      <c r="T12" s="243"/>
    </row>
    <row r="13" spans="3:22" ht="15.75" thickBot="1" x14ac:dyDescent="0.3">
      <c r="C13" s="161"/>
      <c r="D13" s="180" t="s">
        <v>131</v>
      </c>
      <c r="E13" s="191" t="str">
        <f>+D6</f>
        <v>Coke</v>
      </c>
      <c r="F13" s="188" t="str">
        <f>+D7</f>
        <v>Pepsi</v>
      </c>
      <c r="G13" s="190">
        <v>5</v>
      </c>
      <c r="R13" s="244"/>
      <c r="S13" s="245"/>
      <c r="T13" s="246"/>
    </row>
    <row r="14" spans="3:22" ht="15.75" thickBot="1" x14ac:dyDescent="0.3">
      <c r="C14" s="161"/>
      <c r="D14" s="117"/>
      <c r="E14" s="191" t="str">
        <f>+E13</f>
        <v>Coke</v>
      </c>
      <c r="F14" s="188" t="str">
        <f>+D8</f>
        <v>Mt Dew</v>
      </c>
      <c r="G14" s="190">
        <v>5</v>
      </c>
      <c r="P14" s="264" t="s">
        <v>171</v>
      </c>
      <c r="Q14" s="265"/>
      <c r="R14" s="265"/>
      <c r="S14" s="265"/>
      <c r="T14" s="265"/>
      <c r="U14" s="265"/>
      <c r="V14" s="266"/>
    </row>
    <row r="15" spans="3:22" ht="15.75" thickBot="1" x14ac:dyDescent="0.3">
      <c r="C15" s="161"/>
      <c r="D15" s="183" t="s">
        <v>130</v>
      </c>
      <c r="E15" s="191" t="str">
        <f t="shared" ref="E15:E17" si="0">+E14</f>
        <v>Coke</v>
      </c>
      <c r="F15" s="188" t="str">
        <f>+D9</f>
        <v>7 Up</v>
      </c>
      <c r="G15" s="190">
        <v>5</v>
      </c>
    </row>
    <row r="16" spans="3:22" x14ac:dyDescent="0.25">
      <c r="C16" s="161"/>
      <c r="D16" s="183" t="s">
        <v>133</v>
      </c>
      <c r="E16" s="191" t="str">
        <f t="shared" si="0"/>
        <v>Coke</v>
      </c>
      <c r="F16" s="188" t="str">
        <f>+D10</f>
        <v>Fanta</v>
      </c>
      <c r="G16" s="190">
        <v>5</v>
      </c>
      <c r="R16" s="230"/>
      <c r="S16" s="231"/>
      <c r="T16" s="232"/>
    </row>
    <row r="17" spans="3:20" x14ac:dyDescent="0.25">
      <c r="C17" s="161"/>
      <c r="D17" s="183" t="s">
        <v>134</v>
      </c>
      <c r="E17" s="191" t="str">
        <f t="shared" si="0"/>
        <v>Coke</v>
      </c>
      <c r="F17" s="188" t="str">
        <f>+D11</f>
        <v>Coke Zero</v>
      </c>
      <c r="G17" s="190">
        <v>5</v>
      </c>
      <c r="R17" s="233"/>
      <c r="S17" s="234" t="s">
        <v>155</v>
      </c>
      <c r="T17" s="235"/>
    </row>
    <row r="18" spans="3:20" ht="15.75" thickBot="1" x14ac:dyDescent="0.3">
      <c r="C18" s="161"/>
      <c r="D18" s="183" t="s">
        <v>135</v>
      </c>
      <c r="E18" s="191" t="str">
        <f>+D7</f>
        <v>Pepsi</v>
      </c>
      <c r="F18" s="188" t="str">
        <f>+D8</f>
        <v>Mt Dew</v>
      </c>
      <c r="G18" s="190">
        <v>5</v>
      </c>
      <c r="R18" s="236"/>
      <c r="S18" s="237"/>
      <c r="T18" s="238"/>
    </row>
    <row r="19" spans="3:20" x14ac:dyDescent="0.25">
      <c r="C19" s="161"/>
      <c r="D19" s="183" t="s">
        <v>140</v>
      </c>
      <c r="E19" s="191" t="str">
        <f>+E18</f>
        <v>Pepsi</v>
      </c>
      <c r="F19" s="188" t="str">
        <f t="shared" ref="F19:F21" si="1">+D9</f>
        <v>7 Up</v>
      </c>
      <c r="G19" s="190">
        <v>5</v>
      </c>
    </row>
    <row r="20" spans="3:20" x14ac:dyDescent="0.25">
      <c r="C20" s="161"/>
      <c r="D20" s="183" t="s">
        <v>139</v>
      </c>
      <c r="E20" s="191" t="str">
        <f t="shared" ref="E20:E21" si="2">+E19</f>
        <v>Pepsi</v>
      </c>
      <c r="F20" s="188" t="str">
        <f t="shared" si="1"/>
        <v>Fanta</v>
      </c>
      <c r="G20" s="190">
        <v>5</v>
      </c>
    </row>
    <row r="21" spans="3:20" x14ac:dyDescent="0.25">
      <c r="C21" s="161"/>
      <c r="D21" s="183" t="s">
        <v>138</v>
      </c>
      <c r="E21" s="191" t="str">
        <f t="shared" si="2"/>
        <v>Pepsi</v>
      </c>
      <c r="F21" s="188" t="str">
        <f t="shared" si="1"/>
        <v>Coke Zero</v>
      </c>
      <c r="G21" s="190">
        <v>5</v>
      </c>
    </row>
    <row r="22" spans="3:20" x14ac:dyDescent="0.25">
      <c r="C22" s="161"/>
      <c r="D22" s="183" t="s">
        <v>137</v>
      </c>
      <c r="E22" s="191" t="str">
        <f>+D8</f>
        <v>Mt Dew</v>
      </c>
      <c r="F22" s="188" t="str">
        <f>+D9</f>
        <v>7 Up</v>
      </c>
      <c r="G22" s="190">
        <v>5</v>
      </c>
    </row>
    <row r="23" spans="3:20" x14ac:dyDescent="0.25">
      <c r="C23" s="161"/>
      <c r="D23" s="183" t="s">
        <v>136</v>
      </c>
      <c r="E23" s="191" t="str">
        <f>+E22</f>
        <v>Mt Dew</v>
      </c>
      <c r="F23" s="188" t="str">
        <f t="shared" ref="F23:F24" si="3">+D10</f>
        <v>Fanta</v>
      </c>
      <c r="G23" s="190">
        <v>5</v>
      </c>
    </row>
    <row r="24" spans="3:20" x14ac:dyDescent="0.25">
      <c r="C24" s="161"/>
      <c r="D24" s="183"/>
      <c r="E24" s="191" t="str">
        <f>+E23</f>
        <v>Mt Dew</v>
      </c>
      <c r="F24" s="188" t="str">
        <f t="shared" si="3"/>
        <v>Coke Zero</v>
      </c>
      <c r="G24" s="190">
        <v>5</v>
      </c>
    </row>
    <row r="25" spans="3:20" x14ac:dyDescent="0.25">
      <c r="C25" s="161"/>
      <c r="D25" s="183"/>
      <c r="E25" s="191" t="str">
        <f>+D9</f>
        <v>7 Up</v>
      </c>
      <c r="F25" s="188" t="str">
        <f>+D10</f>
        <v>Fanta</v>
      </c>
      <c r="G25" s="190">
        <v>5</v>
      </c>
    </row>
    <row r="26" spans="3:20" x14ac:dyDescent="0.25">
      <c r="C26" s="161"/>
      <c r="D26" s="183"/>
      <c r="E26" s="191" t="str">
        <f>+E25</f>
        <v>7 Up</v>
      </c>
      <c r="F26" s="188" t="str">
        <f>+D11</f>
        <v>Coke Zero</v>
      </c>
      <c r="G26" s="190">
        <v>5</v>
      </c>
    </row>
    <row r="27" spans="3:20" ht="15.75" thickBot="1" x14ac:dyDescent="0.3">
      <c r="C27" s="164"/>
      <c r="D27" s="165"/>
      <c r="E27" s="201" t="str">
        <f>+D10</f>
        <v>Fanta</v>
      </c>
      <c r="F27" s="202" t="str">
        <f>+D11</f>
        <v>Coke Zero</v>
      </c>
      <c r="G27" s="203">
        <v>5</v>
      </c>
    </row>
    <row r="28" spans="3:20" ht="19.5" thickBot="1" x14ac:dyDescent="0.35">
      <c r="C28" s="217" t="s">
        <v>146</v>
      </c>
      <c r="D28" s="217" t="s">
        <v>148</v>
      </c>
      <c r="E28" s="162"/>
      <c r="F28" s="162"/>
      <c r="G28" s="163"/>
    </row>
    <row r="29" spans="3:20" ht="15.75" thickBot="1" x14ac:dyDescent="0.3">
      <c r="C29" s="161"/>
      <c r="D29" s="162"/>
      <c r="E29" s="162"/>
      <c r="F29" s="162"/>
      <c r="G29" s="163"/>
    </row>
    <row r="30" spans="3:20" ht="15.75" thickBot="1" x14ac:dyDescent="0.3">
      <c r="C30" s="185" t="s">
        <v>149</v>
      </c>
      <c r="D30" s="184" t="s">
        <v>150</v>
      </c>
      <c r="E30" s="162"/>
      <c r="F30" s="186" t="s">
        <v>159</v>
      </c>
      <c r="G30" s="163"/>
    </row>
    <row r="31" spans="3:20" ht="15.75" thickBot="1" x14ac:dyDescent="0.3">
      <c r="C31" s="164"/>
      <c r="D31" s="165"/>
      <c r="E31" s="165"/>
      <c r="F31" s="165"/>
      <c r="G31" s="166"/>
    </row>
    <row r="32" spans="3:20" ht="19.5" thickBot="1" x14ac:dyDescent="0.35">
      <c r="C32" s="217" t="s">
        <v>151</v>
      </c>
      <c r="D32" s="217" t="s">
        <v>147</v>
      </c>
      <c r="E32" s="159"/>
      <c r="F32" s="159"/>
      <c r="G32" s="160"/>
    </row>
    <row r="33" spans="3:7" x14ac:dyDescent="0.25">
      <c r="C33" s="161"/>
      <c r="D33" s="162"/>
      <c r="E33" s="162"/>
      <c r="F33" s="162"/>
      <c r="G33" s="163"/>
    </row>
    <row r="34" spans="3:7" x14ac:dyDescent="0.25">
      <c r="C34" s="161"/>
      <c r="D34" s="258" t="s">
        <v>152</v>
      </c>
      <c r="E34" s="258"/>
      <c r="F34" s="258"/>
      <c r="G34" s="163"/>
    </row>
    <row r="35" spans="3:7" ht="15.75" thickBot="1" x14ac:dyDescent="0.3">
      <c r="C35" s="164"/>
      <c r="D35" s="165"/>
      <c r="E35" s="165"/>
      <c r="F35" s="165"/>
      <c r="G35" s="166"/>
    </row>
    <row r="36" spans="3:7" x14ac:dyDescent="0.25">
      <c r="C36" s="208"/>
      <c r="D36" s="209"/>
      <c r="E36" s="209"/>
      <c r="F36" s="209"/>
      <c r="G36" s="210"/>
    </row>
    <row r="37" spans="3:7" x14ac:dyDescent="0.25">
      <c r="C37" s="211"/>
      <c r="D37" s="212" t="s">
        <v>166</v>
      </c>
      <c r="E37" s="213"/>
      <c r="F37" s="213"/>
      <c r="G37" s="214"/>
    </row>
    <row r="38" spans="3:7" ht="15.75" thickBot="1" x14ac:dyDescent="0.3">
      <c r="C38" s="215"/>
      <c r="D38" s="216"/>
      <c r="E38" s="216"/>
      <c r="F38" s="216"/>
      <c r="G38" s="187"/>
    </row>
  </sheetData>
  <mergeCells count="4">
    <mergeCell ref="C2:H2"/>
    <mergeCell ref="E12:F12"/>
    <mergeCell ref="D34:F34"/>
    <mergeCell ref="P14:V14"/>
  </mergeCells>
  <dataValidations count="1">
    <dataValidation type="decimal" allowBlank="1" showErrorMessage="1" errorTitle="Outside range" error="Use the 1-9 scale" promptTitle="Outside range" prompt="Use the 1-9 scale" sqref="G13:G27">
      <formula1>1</formula1>
      <formula2>9</formula2>
    </dataValidation>
  </dataValidations>
  <hyperlinks>
    <hyperlink ref="D34:F34" location="'Map for 6 brands'!AH1" display="Click here to view map - make sure all data is entered first"/>
    <hyperlink ref="S12" location="'Map for 6 brands'!A1" display="Go back to data"/>
    <hyperlink ref="S17" location="Welcome!A1" display="Go back to Welcome Page"/>
    <hyperlink ref="D37" location="Welcome!A1" display="Go back to Welcome Page and menu"/>
  </hyperlink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69"/>
  <sheetViews>
    <sheetView topLeftCell="A52" workbookViewId="0">
      <selection activeCell="L60" sqref="L60"/>
    </sheetView>
  </sheetViews>
  <sheetFormatPr defaultRowHeight="15" x14ac:dyDescent="0.25"/>
  <cols>
    <col min="12" max="12" width="10.28515625" bestFit="1" customWidth="1"/>
  </cols>
  <sheetData>
    <row r="1" spans="2:20" ht="15.75" thickBot="1" x14ac:dyDescent="0.3"/>
    <row r="2" spans="2:20" x14ac:dyDescent="0.25">
      <c r="B2" s="16"/>
      <c r="C2" s="8"/>
      <c r="D2" s="8">
        <v>1</v>
      </c>
      <c r="E2" s="8">
        <v>2</v>
      </c>
      <c r="F2" s="8">
        <v>3</v>
      </c>
      <c r="G2" s="8">
        <v>4</v>
      </c>
      <c r="H2" s="8">
        <v>5</v>
      </c>
      <c r="I2" s="8">
        <v>6</v>
      </c>
      <c r="J2" s="9">
        <v>7</v>
      </c>
      <c r="L2" s="15"/>
      <c r="M2" s="15"/>
      <c r="N2" s="15"/>
      <c r="O2" s="15"/>
      <c r="P2" s="15"/>
      <c r="Q2" s="15"/>
      <c r="R2" s="15"/>
      <c r="S2" s="15"/>
      <c r="T2" s="15"/>
    </row>
    <row r="3" spans="2:20" ht="15.75" thickBot="1" x14ac:dyDescent="0.3">
      <c r="B3" s="13"/>
      <c r="C3" s="15"/>
      <c r="D3" s="17" t="str">
        <f>+C4</f>
        <v>Coke</v>
      </c>
      <c r="E3" s="17" t="str">
        <f>+C5</f>
        <v>Pepsi</v>
      </c>
      <c r="F3" s="17" t="str">
        <f>+C6</f>
        <v>Mt Dew</v>
      </c>
      <c r="G3" s="17" t="str">
        <f>+C7</f>
        <v>7 Up</v>
      </c>
      <c r="H3" s="17" t="str">
        <f>+C8</f>
        <v>Fanta</v>
      </c>
      <c r="I3" s="17" t="str">
        <f>+C9</f>
        <v>Coke Zero</v>
      </c>
      <c r="J3" s="18"/>
      <c r="L3" s="15"/>
      <c r="M3" s="15"/>
      <c r="N3" s="17">
        <f>+'Map for 6 brands'!G13</f>
        <v>5</v>
      </c>
      <c r="O3" s="17" t="s">
        <v>108</v>
      </c>
      <c r="P3" s="17" t="s">
        <v>109</v>
      </c>
      <c r="Q3" s="17"/>
      <c r="R3" s="17"/>
      <c r="S3" s="17"/>
      <c r="T3" s="17"/>
    </row>
    <row r="4" spans="2:20" x14ac:dyDescent="0.25">
      <c r="B4" s="13">
        <v>1</v>
      </c>
      <c r="C4" s="17" t="str">
        <f>+'Map for 6 brands'!D6</f>
        <v>Coke</v>
      </c>
      <c r="D4" s="20">
        <v>0</v>
      </c>
      <c r="E4" s="23">
        <f>+D5</f>
        <v>5</v>
      </c>
      <c r="F4" s="23">
        <f>+D6</f>
        <v>5</v>
      </c>
      <c r="G4" s="23">
        <f>+D7</f>
        <v>5</v>
      </c>
      <c r="H4" s="23">
        <f>+D8</f>
        <v>5</v>
      </c>
      <c r="I4" s="23">
        <f>+D9</f>
        <v>5</v>
      </c>
      <c r="J4" s="24">
        <f>+D10</f>
        <v>0</v>
      </c>
      <c r="L4" s="17"/>
      <c r="M4" s="17"/>
      <c r="N4" s="17">
        <f>+'Map for 6 brands'!G14</f>
        <v>5</v>
      </c>
      <c r="O4" s="35" t="s">
        <v>108</v>
      </c>
      <c r="P4" s="35" t="s">
        <v>143</v>
      </c>
      <c r="Q4" s="35"/>
      <c r="R4" s="35"/>
      <c r="S4" s="35"/>
      <c r="T4" s="35"/>
    </row>
    <row r="5" spans="2:20" x14ac:dyDescent="0.25">
      <c r="B5" s="13">
        <v>2</v>
      </c>
      <c r="C5" s="17" t="str">
        <f>+'Map for 6 brands'!D7</f>
        <v>Pepsi</v>
      </c>
      <c r="D5" s="13">
        <f>+N3</f>
        <v>5</v>
      </c>
      <c r="E5" s="21">
        <v>0</v>
      </c>
      <c r="F5" s="21">
        <f>+E6</f>
        <v>5</v>
      </c>
      <c r="G5" s="21">
        <f>+E7</f>
        <v>5</v>
      </c>
      <c r="H5" s="21">
        <f>+E8</f>
        <v>5</v>
      </c>
      <c r="I5" s="21">
        <f>+E9</f>
        <v>5</v>
      </c>
      <c r="J5" s="25">
        <f>+E10</f>
        <v>0</v>
      </c>
      <c r="L5" s="17"/>
      <c r="M5" s="17"/>
      <c r="N5" s="17">
        <f>+'Map for 6 brands'!G15</f>
        <v>5</v>
      </c>
      <c r="O5" s="35" t="s">
        <v>108</v>
      </c>
      <c r="P5" s="35" t="s">
        <v>110</v>
      </c>
      <c r="Q5" s="35"/>
      <c r="R5" s="35"/>
      <c r="S5" s="35"/>
      <c r="T5" s="35"/>
    </row>
    <row r="6" spans="2:20" x14ac:dyDescent="0.25">
      <c r="B6" s="13">
        <v>3</v>
      </c>
      <c r="C6" s="17" t="str">
        <f>+'Map for 6 brands'!D8</f>
        <v>Mt Dew</v>
      </c>
      <c r="D6" s="13">
        <f t="shared" ref="D6:D9" si="0">+N4</f>
        <v>5</v>
      </c>
      <c r="E6" s="15">
        <f>+N8</f>
        <v>5</v>
      </c>
      <c r="F6" s="21">
        <v>0</v>
      </c>
      <c r="G6" s="21">
        <f>+F7</f>
        <v>5</v>
      </c>
      <c r="H6" s="21">
        <f>+F8</f>
        <v>5</v>
      </c>
      <c r="I6" s="21">
        <f>+F9</f>
        <v>5</v>
      </c>
      <c r="J6" s="25">
        <f>+F10</f>
        <v>0</v>
      </c>
      <c r="L6" s="17"/>
      <c r="M6" s="17"/>
      <c r="N6" s="17">
        <f>+'Map for 6 brands'!G16</f>
        <v>5</v>
      </c>
      <c r="O6" s="35" t="s">
        <v>108</v>
      </c>
      <c r="P6" s="35" t="s">
        <v>144</v>
      </c>
      <c r="Q6" s="35"/>
      <c r="R6" s="35"/>
      <c r="S6" s="35"/>
      <c r="T6" s="35"/>
    </row>
    <row r="7" spans="2:20" x14ac:dyDescent="0.25">
      <c r="B7" s="13">
        <v>4</v>
      </c>
      <c r="C7" s="17" t="str">
        <f>+'Map for 6 brands'!D9</f>
        <v>7 Up</v>
      </c>
      <c r="D7" s="13">
        <f t="shared" si="0"/>
        <v>5</v>
      </c>
      <c r="E7" s="15">
        <f t="shared" ref="E7:E9" si="1">+N9</f>
        <v>5</v>
      </c>
      <c r="F7" s="40">
        <f>+N12</f>
        <v>5</v>
      </c>
      <c r="G7" s="21">
        <v>0</v>
      </c>
      <c r="H7" s="21">
        <f>+G8</f>
        <v>5</v>
      </c>
      <c r="I7" s="21">
        <f>+G9</f>
        <v>5</v>
      </c>
      <c r="J7" s="25">
        <f>+G10</f>
        <v>0</v>
      </c>
      <c r="L7" s="17"/>
      <c r="M7" s="17"/>
      <c r="N7" s="17">
        <f>+'Map for 6 brands'!G17</f>
        <v>5</v>
      </c>
      <c r="O7" s="35" t="s">
        <v>108</v>
      </c>
      <c r="P7" s="35" t="s">
        <v>157</v>
      </c>
      <c r="Q7" s="35"/>
      <c r="R7" s="35"/>
      <c r="S7" s="35"/>
      <c r="T7" s="35"/>
    </row>
    <row r="8" spans="2:20" x14ac:dyDescent="0.25">
      <c r="B8" s="13">
        <v>5</v>
      </c>
      <c r="C8" s="17" t="str">
        <f>+'Map for 6 brands'!D10</f>
        <v>Fanta</v>
      </c>
      <c r="D8" s="13">
        <f t="shared" si="0"/>
        <v>5</v>
      </c>
      <c r="E8" s="15">
        <f t="shared" si="1"/>
        <v>5</v>
      </c>
      <c r="F8" s="40">
        <f t="shared" ref="F8:F9" si="2">+N13</f>
        <v>5</v>
      </c>
      <c r="G8" s="40">
        <f>+N15</f>
        <v>5</v>
      </c>
      <c r="H8" s="21">
        <v>0</v>
      </c>
      <c r="I8" s="21">
        <f>+H9</f>
        <v>5</v>
      </c>
      <c r="J8" s="25">
        <f>+H10</f>
        <v>0</v>
      </c>
      <c r="L8" s="17"/>
      <c r="M8" s="17"/>
      <c r="N8" s="17">
        <f>+'Map for 6 brands'!G18</f>
        <v>5</v>
      </c>
      <c r="O8" s="35" t="s">
        <v>109</v>
      </c>
      <c r="P8" s="35" t="s">
        <v>143</v>
      </c>
      <c r="Q8" s="35"/>
      <c r="R8" s="35"/>
      <c r="S8" s="35"/>
      <c r="T8" s="35"/>
    </row>
    <row r="9" spans="2:20" x14ac:dyDescent="0.25">
      <c r="B9" s="13">
        <v>6</v>
      </c>
      <c r="C9" s="17" t="str">
        <f>+'Map for 6 brands'!D11</f>
        <v>Coke Zero</v>
      </c>
      <c r="D9" s="13">
        <f t="shared" si="0"/>
        <v>5</v>
      </c>
      <c r="E9" s="15">
        <f t="shared" si="1"/>
        <v>5</v>
      </c>
      <c r="F9" s="40">
        <f t="shared" si="2"/>
        <v>5</v>
      </c>
      <c r="G9" s="40">
        <f>+N16</f>
        <v>5</v>
      </c>
      <c r="H9" s="40">
        <f>+N17</f>
        <v>5</v>
      </c>
      <c r="I9" s="21">
        <v>0</v>
      </c>
      <c r="J9" s="25">
        <f>+I10</f>
        <v>0</v>
      </c>
      <c r="L9" s="17"/>
      <c r="M9" s="17"/>
      <c r="N9" s="17">
        <f>+'Map for 6 brands'!G19</f>
        <v>5</v>
      </c>
      <c r="O9" s="35" t="s">
        <v>109</v>
      </c>
      <c r="P9" s="35" t="s">
        <v>110</v>
      </c>
      <c r="Q9" s="35"/>
      <c r="R9" s="35"/>
      <c r="S9" s="35"/>
      <c r="T9" s="35"/>
    </row>
    <row r="10" spans="2:20" ht="15.75" thickBot="1" x14ac:dyDescent="0.3">
      <c r="B10" s="10">
        <v>7</v>
      </c>
      <c r="C10" s="19"/>
      <c r="D10" s="10"/>
      <c r="E10" s="11"/>
      <c r="F10" s="11"/>
      <c r="G10" s="11"/>
      <c r="H10" s="11"/>
      <c r="I10" s="11"/>
      <c r="J10" s="22">
        <v>0</v>
      </c>
      <c r="L10" s="17"/>
      <c r="M10" s="17"/>
      <c r="N10" s="17">
        <f>+'Map for 6 brands'!G20</f>
        <v>5</v>
      </c>
      <c r="O10" s="145" t="s">
        <v>109</v>
      </c>
      <c r="P10" s="145" t="s">
        <v>144</v>
      </c>
      <c r="Q10" s="145"/>
      <c r="R10" s="145"/>
      <c r="S10" s="145"/>
      <c r="T10" s="145"/>
    </row>
    <row r="11" spans="2:20" x14ac:dyDescent="0.25">
      <c r="L11" s="17"/>
      <c r="M11" s="17"/>
      <c r="N11" s="17">
        <f>+'Map for 6 brands'!G21</f>
        <v>5</v>
      </c>
      <c r="O11" s="145" t="s">
        <v>109</v>
      </c>
      <c r="P11" s="145" t="s">
        <v>157</v>
      </c>
      <c r="Q11" s="145"/>
      <c r="R11" s="145"/>
      <c r="S11" s="145"/>
      <c r="T11" s="145"/>
    </row>
    <row r="12" spans="2:20" x14ac:dyDescent="0.25">
      <c r="C12" s="28" t="s">
        <v>2</v>
      </c>
      <c r="D12" s="3">
        <f>SUM(D4:D11)+D2/1000</f>
        <v>25.001000000000001</v>
      </c>
      <c r="E12" s="3">
        <f t="shared" ref="E12:I12" si="3">SUM(E4:E11)+E2/1000</f>
        <v>25.001999999999999</v>
      </c>
      <c r="F12" s="3">
        <f t="shared" si="3"/>
        <v>25.003</v>
      </c>
      <c r="G12" s="3">
        <f t="shared" si="3"/>
        <v>25.004000000000001</v>
      </c>
      <c r="H12" s="3">
        <f t="shared" si="3"/>
        <v>25.004999999999999</v>
      </c>
      <c r="I12" s="3">
        <f t="shared" si="3"/>
        <v>25.006</v>
      </c>
      <c r="J12" s="3"/>
      <c r="L12" s="17">
        <f>COUNTIF(D12:J12,"&gt;.5")</f>
        <v>6</v>
      </c>
      <c r="M12" s="17"/>
      <c r="N12" s="17">
        <f>+'Map for 6 brands'!G22</f>
        <v>5</v>
      </c>
      <c r="O12" s="145" t="s">
        <v>143</v>
      </c>
      <c r="P12" s="145" t="s">
        <v>110</v>
      </c>
      <c r="Q12" s="145"/>
      <c r="R12" s="145"/>
      <c r="S12" s="145"/>
      <c r="T12" s="145"/>
    </row>
    <row r="13" spans="2:20" x14ac:dyDescent="0.25">
      <c r="L13" s="17"/>
      <c r="M13" s="17"/>
      <c r="N13" s="17">
        <f>+'Map for 6 brands'!G23</f>
        <v>5</v>
      </c>
      <c r="O13" s="145" t="s">
        <v>143</v>
      </c>
      <c r="P13" s="145" t="s">
        <v>144</v>
      </c>
      <c r="Q13" s="145"/>
      <c r="R13" s="145"/>
      <c r="S13" s="145"/>
      <c r="T13" s="145"/>
    </row>
    <row r="14" spans="2:20" x14ac:dyDescent="0.25">
      <c r="C14" s="28" t="s">
        <v>3</v>
      </c>
      <c r="D14">
        <f t="shared" ref="D14:I14" si="4">RANK(D12,six_set)</f>
        <v>6</v>
      </c>
      <c r="E14">
        <f t="shared" si="4"/>
        <v>5</v>
      </c>
      <c r="F14">
        <f t="shared" si="4"/>
        <v>4</v>
      </c>
      <c r="G14">
        <f t="shared" si="4"/>
        <v>3</v>
      </c>
      <c r="H14">
        <f t="shared" si="4"/>
        <v>2</v>
      </c>
      <c r="I14">
        <f t="shared" si="4"/>
        <v>1</v>
      </c>
      <c r="L14" s="28"/>
      <c r="M14" s="17"/>
      <c r="N14" s="17">
        <f>+'Map for 6 brands'!G24</f>
        <v>5</v>
      </c>
      <c r="O14" s="145" t="s">
        <v>143</v>
      </c>
      <c r="P14" s="145" t="s">
        <v>157</v>
      </c>
      <c r="Q14" s="145"/>
      <c r="R14" s="145"/>
      <c r="S14" s="145"/>
      <c r="T14" s="145"/>
    </row>
    <row r="15" spans="2:20" x14ac:dyDescent="0.25">
      <c r="D15" s="34">
        <f>7-D14</f>
        <v>1</v>
      </c>
      <c r="E15" s="34">
        <f t="shared" ref="E15:I15" si="5">7-E14</f>
        <v>2</v>
      </c>
      <c r="F15" s="34">
        <f t="shared" si="5"/>
        <v>3</v>
      </c>
      <c r="G15" s="34">
        <f t="shared" si="5"/>
        <v>4</v>
      </c>
      <c r="H15" s="34">
        <f t="shared" si="5"/>
        <v>5</v>
      </c>
      <c r="I15" s="34">
        <f t="shared" si="5"/>
        <v>6</v>
      </c>
      <c r="J15" s="34"/>
      <c r="L15" s="28"/>
      <c r="M15" s="17"/>
      <c r="N15" s="17">
        <f>+'Map for 6 brands'!G25</f>
        <v>5</v>
      </c>
      <c r="O15" s="145" t="s">
        <v>110</v>
      </c>
      <c r="P15" s="145" t="s">
        <v>144</v>
      </c>
      <c r="Q15" s="145"/>
      <c r="R15" s="145"/>
      <c r="S15" s="145"/>
      <c r="T15" s="145"/>
    </row>
    <row r="16" spans="2:20" x14ac:dyDescent="0.25">
      <c r="N16" s="17">
        <f>+'Map for 6 brands'!G26</f>
        <v>5</v>
      </c>
      <c r="O16" t="s">
        <v>110</v>
      </c>
      <c r="P16" t="s">
        <v>157</v>
      </c>
    </row>
    <row r="17" spans="2:24" x14ac:dyDescent="0.25">
      <c r="C17" s="1" t="s">
        <v>8</v>
      </c>
      <c r="D17">
        <f t="shared" ref="D17:I17" si="6">IF(D14=1,D2,0)</f>
        <v>0</v>
      </c>
      <c r="E17">
        <f t="shared" si="6"/>
        <v>0</v>
      </c>
      <c r="F17">
        <f t="shared" si="6"/>
        <v>0</v>
      </c>
      <c r="G17">
        <f t="shared" si="6"/>
        <v>0</v>
      </c>
      <c r="H17">
        <f t="shared" si="6"/>
        <v>0</v>
      </c>
      <c r="I17">
        <f t="shared" si="6"/>
        <v>6</v>
      </c>
      <c r="K17" s="4">
        <f>SUM(D17:J17)</f>
        <v>6</v>
      </c>
      <c r="N17" s="17">
        <f>+'Map for 6 brands'!G27</f>
        <v>5</v>
      </c>
      <c r="O17" t="s">
        <v>144</v>
      </c>
      <c r="P17" t="s">
        <v>157</v>
      </c>
    </row>
    <row r="18" spans="2:24" ht="15.75" thickBot="1" x14ac:dyDescent="0.3"/>
    <row r="19" spans="2:24" ht="15.75" thickBot="1" x14ac:dyDescent="0.3">
      <c r="C19" s="1" t="s">
        <v>4</v>
      </c>
      <c r="D19">
        <f>IF(D14=1,2,0)</f>
        <v>0</v>
      </c>
      <c r="E19">
        <f t="shared" ref="E19:I19" si="7">IF(E14=1,2,0)</f>
        <v>0</v>
      </c>
      <c r="F19">
        <f t="shared" si="7"/>
        <v>0</v>
      </c>
      <c r="G19">
        <f t="shared" si="7"/>
        <v>0</v>
      </c>
      <c r="H19">
        <f t="shared" si="7"/>
        <v>0</v>
      </c>
      <c r="I19">
        <f t="shared" si="7"/>
        <v>2</v>
      </c>
      <c r="K19">
        <f>SUM(D19:J19)</f>
        <v>2</v>
      </c>
      <c r="O19">
        <v>2</v>
      </c>
      <c r="Q19" s="146">
        <f>+M122</f>
        <v>4.5</v>
      </c>
      <c r="R19" s="146">
        <f>+N122</f>
        <v>4.5</v>
      </c>
      <c r="S19" s="9" t="str">
        <f>+C4</f>
        <v>Coke</v>
      </c>
      <c r="U19" s="152">
        <f>+Q19</f>
        <v>4.5</v>
      </c>
      <c r="V19" s="152">
        <f>+R19</f>
        <v>4.5</v>
      </c>
      <c r="W19" t="str">
        <f>+C4</f>
        <v>Coke</v>
      </c>
      <c r="X19" s="5" t="str">
        <f>IF(U19=" ","",W19)</f>
        <v>Coke</v>
      </c>
    </row>
    <row r="20" spans="2:24" ht="15.75" thickBot="1" x14ac:dyDescent="0.3">
      <c r="C20" s="1" t="s">
        <v>5</v>
      </c>
      <c r="D20">
        <f>IF(D14=1,2,0)</f>
        <v>0</v>
      </c>
      <c r="E20">
        <f t="shared" ref="E20:I20" si="8">IF(E14=1,2,0)</f>
        <v>0</v>
      </c>
      <c r="F20">
        <f t="shared" si="8"/>
        <v>0</v>
      </c>
      <c r="G20">
        <f t="shared" si="8"/>
        <v>0</v>
      </c>
      <c r="H20">
        <f t="shared" si="8"/>
        <v>0</v>
      </c>
      <c r="I20">
        <f t="shared" si="8"/>
        <v>2</v>
      </c>
      <c r="K20">
        <f>SUM(D20:J20)</f>
        <v>2</v>
      </c>
      <c r="O20">
        <v>2</v>
      </c>
      <c r="Q20" s="146">
        <f t="shared" ref="Q20:R24" si="9">+M123</f>
        <v>4.4999000000000002</v>
      </c>
      <c r="R20" s="146">
        <f t="shared" si="9"/>
        <v>7.4999000000000002</v>
      </c>
      <c r="S20" s="14" t="str">
        <f t="shared" ref="S20:S24" si="10">+C5</f>
        <v>Pepsi</v>
      </c>
      <c r="T20" s="37"/>
      <c r="U20" s="152">
        <f>IF(L12=1," ",Q20)</f>
        <v>4.4999000000000002</v>
      </c>
      <c r="V20" s="152">
        <f>IF(L12=1," ",R20)</f>
        <v>7.4999000000000002</v>
      </c>
      <c r="W20" t="str">
        <f t="shared" ref="W20:W25" si="11">+C5</f>
        <v>Pepsi</v>
      </c>
      <c r="X20" s="5" t="str">
        <f t="shared" ref="X20:X25" si="12">IF(U20=" ","",W20)</f>
        <v>Pepsi</v>
      </c>
    </row>
    <row r="21" spans="2:24" ht="15.75" thickBot="1" x14ac:dyDescent="0.3">
      <c r="O21">
        <v>2</v>
      </c>
      <c r="Q21" s="146">
        <f t="shared" si="9"/>
        <v>4.5</v>
      </c>
      <c r="R21" s="146">
        <f t="shared" si="9"/>
        <v>4.5</v>
      </c>
      <c r="S21" s="14" t="str">
        <f t="shared" si="10"/>
        <v>Mt Dew</v>
      </c>
      <c r="T21" s="37">
        <v>2.5</v>
      </c>
      <c r="U21" s="152">
        <f>IF($L$12&lt;$T21," ",Q21)</f>
        <v>4.5</v>
      </c>
      <c r="V21" s="152">
        <f>IF($L$12&lt;$T21," ",R21)</f>
        <v>4.5</v>
      </c>
      <c r="W21" t="str">
        <f t="shared" si="11"/>
        <v>Mt Dew</v>
      </c>
      <c r="X21" s="5" t="str">
        <f t="shared" si="12"/>
        <v>Mt Dew</v>
      </c>
    </row>
    <row r="22" spans="2:24" ht="15.75" thickBot="1" x14ac:dyDescent="0.3">
      <c r="C22" s="1" t="s">
        <v>94</v>
      </c>
      <c r="D22">
        <v>3</v>
      </c>
      <c r="E22">
        <f>+D22+1</f>
        <v>4</v>
      </c>
      <c r="F22">
        <f t="shared" ref="F22:I22" si="13">+E22+1</f>
        <v>5</v>
      </c>
      <c r="G22">
        <f t="shared" si="13"/>
        <v>6</v>
      </c>
      <c r="H22">
        <f t="shared" si="13"/>
        <v>7</v>
      </c>
      <c r="I22">
        <f t="shared" si="13"/>
        <v>8</v>
      </c>
      <c r="O22">
        <v>2</v>
      </c>
      <c r="Q22" s="146">
        <f t="shared" si="9"/>
        <v>6.5000999999999998</v>
      </c>
      <c r="R22" s="146">
        <f t="shared" si="9"/>
        <v>3.5001000000000002</v>
      </c>
      <c r="S22" s="14" t="str">
        <f t="shared" si="10"/>
        <v>7 Up</v>
      </c>
      <c r="T22" s="37">
        <v>3.5</v>
      </c>
      <c r="U22" s="152">
        <f t="shared" ref="U22:V25" si="14">IF($L$12&lt;$T22," ",Q22)</f>
        <v>6.5000999999999998</v>
      </c>
      <c r="V22" s="152">
        <f t="shared" si="14"/>
        <v>3.5001000000000002</v>
      </c>
      <c r="W22" t="str">
        <f t="shared" si="11"/>
        <v>7 Up</v>
      </c>
      <c r="X22" s="5" t="str">
        <f t="shared" si="12"/>
        <v>7 Up</v>
      </c>
    </row>
    <row r="23" spans="2:24" ht="15.75" thickBot="1" x14ac:dyDescent="0.3">
      <c r="D23" s="3">
        <f t="shared" ref="D23:I23" si="15">VLOOKUP($K17,six_brand_data,D22)+D2/1000</f>
        <v>5.0010000000000003</v>
      </c>
      <c r="E23" s="3">
        <f t="shared" si="15"/>
        <v>5.0019999999999998</v>
      </c>
      <c r="F23" s="3">
        <f t="shared" si="15"/>
        <v>5.0030000000000001</v>
      </c>
      <c r="G23" s="3">
        <f t="shared" si="15"/>
        <v>5.0039999999999996</v>
      </c>
      <c r="H23" s="3">
        <f t="shared" si="15"/>
        <v>5.0049999999999999</v>
      </c>
      <c r="I23" s="3">
        <f t="shared" si="15"/>
        <v>6.0000000000000001E-3</v>
      </c>
      <c r="J23" s="3"/>
      <c r="O23">
        <v>2</v>
      </c>
      <c r="Q23" s="146">
        <f t="shared" si="9"/>
        <v>5</v>
      </c>
      <c r="R23" s="146">
        <f t="shared" si="9"/>
        <v>5</v>
      </c>
      <c r="S23" s="14" t="str">
        <f t="shared" si="10"/>
        <v>Fanta</v>
      </c>
      <c r="T23" s="37">
        <v>4.5</v>
      </c>
      <c r="U23" s="152">
        <f t="shared" si="14"/>
        <v>5</v>
      </c>
      <c r="V23" s="152">
        <f t="shared" si="14"/>
        <v>5</v>
      </c>
      <c r="W23" t="str">
        <f t="shared" si="11"/>
        <v>Fanta</v>
      </c>
      <c r="X23" s="5" t="str">
        <f t="shared" si="12"/>
        <v>Fanta</v>
      </c>
    </row>
    <row r="24" spans="2:24" x14ac:dyDescent="0.25">
      <c r="C24" s="1" t="s">
        <v>3</v>
      </c>
      <c r="D24">
        <f>RANK(D23,$D23:$J23)</f>
        <v>5</v>
      </c>
      <c r="E24">
        <f t="shared" ref="E24:I24" si="16">RANK(E23,$D23:$J23)</f>
        <v>4</v>
      </c>
      <c r="F24">
        <f t="shared" si="16"/>
        <v>3</v>
      </c>
      <c r="G24">
        <f t="shared" si="16"/>
        <v>2</v>
      </c>
      <c r="H24">
        <f t="shared" si="16"/>
        <v>1</v>
      </c>
      <c r="I24">
        <f t="shared" si="16"/>
        <v>6</v>
      </c>
      <c r="O24">
        <v>2</v>
      </c>
      <c r="Q24" s="146">
        <f t="shared" si="9"/>
        <v>2</v>
      </c>
      <c r="R24" s="146">
        <f t="shared" si="9"/>
        <v>2</v>
      </c>
      <c r="S24" s="14" t="str">
        <f t="shared" si="10"/>
        <v>Coke Zero</v>
      </c>
      <c r="T24" s="37">
        <v>5.5</v>
      </c>
      <c r="U24" s="152">
        <f t="shared" si="14"/>
        <v>2</v>
      </c>
      <c r="V24" s="152">
        <f t="shared" si="14"/>
        <v>2</v>
      </c>
      <c r="W24" t="str">
        <f t="shared" si="11"/>
        <v>Coke Zero</v>
      </c>
      <c r="X24" s="5" t="str">
        <f t="shared" si="12"/>
        <v>Coke Zero</v>
      </c>
    </row>
    <row r="25" spans="2:24" ht="15.75" thickBot="1" x14ac:dyDescent="0.3">
      <c r="Q25" s="150"/>
      <c r="R25" s="151"/>
      <c r="S25" s="12"/>
      <c r="T25" s="37">
        <v>6.5</v>
      </c>
      <c r="U25" s="152" t="str">
        <f t="shared" si="14"/>
        <v xml:space="preserve"> </v>
      </c>
      <c r="V25" s="152" t="str">
        <f t="shared" si="14"/>
        <v xml:space="preserve"> </v>
      </c>
      <c r="W25">
        <f t="shared" si="11"/>
        <v>0</v>
      </c>
      <c r="X25" s="5" t="str">
        <f t="shared" si="12"/>
        <v/>
      </c>
    </row>
    <row r="26" spans="2:24" x14ac:dyDescent="0.25">
      <c r="B26" s="31" t="s">
        <v>6</v>
      </c>
      <c r="C26" s="110" t="s">
        <v>32</v>
      </c>
      <c r="D26" s="8">
        <f>IF(D24=1,D2,0)</f>
        <v>0</v>
      </c>
      <c r="E26" s="8">
        <f t="shared" ref="E26:J26" si="17">IF(E24=1,E2,0)</f>
        <v>0</v>
      </c>
      <c r="F26" s="8">
        <f t="shared" si="17"/>
        <v>0</v>
      </c>
      <c r="G26" s="8">
        <f t="shared" si="17"/>
        <v>0</v>
      </c>
      <c r="H26" s="8">
        <f t="shared" si="17"/>
        <v>5</v>
      </c>
      <c r="I26" s="8">
        <f t="shared" si="17"/>
        <v>0</v>
      </c>
      <c r="J26" s="8">
        <f t="shared" si="17"/>
        <v>0</v>
      </c>
      <c r="K26" s="26">
        <f t="shared" ref="K26:K29" si="18">SUM(D26:J26)</f>
        <v>5</v>
      </c>
      <c r="T26" s="37"/>
      <c r="U26" s="2"/>
      <c r="V26" s="2"/>
    </row>
    <row r="27" spans="2:24" x14ac:dyDescent="0.25">
      <c r="B27" s="111" t="s">
        <v>7</v>
      </c>
      <c r="C27" s="17" t="s">
        <v>24</v>
      </c>
      <c r="D27" s="15">
        <f>IF(D24=2,D2,0)</f>
        <v>0</v>
      </c>
      <c r="E27" s="15">
        <f t="shared" ref="E27:J27" si="19">IF(E24=2,E2,0)</f>
        <v>0</v>
      </c>
      <c r="F27" s="15">
        <f t="shared" si="19"/>
        <v>0</v>
      </c>
      <c r="G27" s="15">
        <f t="shared" si="19"/>
        <v>4</v>
      </c>
      <c r="H27" s="15">
        <f t="shared" si="19"/>
        <v>0</v>
      </c>
      <c r="I27" s="15">
        <f t="shared" si="19"/>
        <v>0</v>
      </c>
      <c r="J27" s="15">
        <f t="shared" si="19"/>
        <v>0</v>
      </c>
      <c r="K27" s="128">
        <f t="shared" si="18"/>
        <v>4</v>
      </c>
    </row>
    <row r="28" spans="2:24" ht="15.75" thickBot="1" x14ac:dyDescent="0.3">
      <c r="B28" s="29" t="s">
        <v>10</v>
      </c>
      <c r="C28" s="19" t="s">
        <v>17</v>
      </c>
      <c r="D28" s="11">
        <f>IF(D24=3,D2,0)</f>
        <v>0</v>
      </c>
      <c r="E28" s="11">
        <f t="shared" ref="E28:J29" si="20">IF(E24=3,E2,0)</f>
        <v>0</v>
      </c>
      <c r="F28" s="11">
        <f t="shared" si="20"/>
        <v>3</v>
      </c>
      <c r="G28" s="11">
        <f t="shared" si="20"/>
        <v>0</v>
      </c>
      <c r="H28" s="11">
        <f t="shared" si="20"/>
        <v>0</v>
      </c>
      <c r="I28" s="11">
        <f t="shared" si="20"/>
        <v>0</v>
      </c>
      <c r="J28" s="11">
        <f t="shared" si="20"/>
        <v>0</v>
      </c>
      <c r="K28" s="129">
        <f t="shared" si="18"/>
        <v>3</v>
      </c>
      <c r="Q28" s="37"/>
    </row>
    <row r="29" spans="2:24" ht="15.75" thickBot="1" x14ac:dyDescent="0.3">
      <c r="B29" s="295" t="s">
        <v>173</v>
      </c>
      <c r="C29" s="296" t="s">
        <v>10</v>
      </c>
      <c r="D29" s="297">
        <f>IF(D24=4,D2,0)</f>
        <v>0</v>
      </c>
      <c r="E29" s="297">
        <f t="shared" ref="E29:I29" si="21">IF(E24=4,E2,0)</f>
        <v>2</v>
      </c>
      <c r="F29" s="297">
        <f t="shared" si="21"/>
        <v>0</v>
      </c>
      <c r="G29" s="297">
        <f t="shared" si="21"/>
        <v>0</v>
      </c>
      <c r="H29" s="297">
        <f t="shared" si="21"/>
        <v>0</v>
      </c>
      <c r="I29" s="297">
        <f t="shared" si="21"/>
        <v>0</v>
      </c>
      <c r="J29" s="297">
        <f t="shared" si="20"/>
        <v>0</v>
      </c>
      <c r="K29" s="303">
        <f t="shared" si="18"/>
        <v>2</v>
      </c>
      <c r="Q29" s="37"/>
    </row>
    <row r="30" spans="2:24" ht="15.75" thickBot="1" x14ac:dyDescent="0.3"/>
    <row r="31" spans="2:24" ht="15.75" thickBot="1" x14ac:dyDescent="0.3">
      <c r="C31" s="107" t="s">
        <v>95</v>
      </c>
      <c r="D31" s="9">
        <f>VLOOKUP(K17,six_brand_data,K26+2)</f>
        <v>5</v>
      </c>
      <c r="F31" s="107" t="s">
        <v>98</v>
      </c>
      <c r="G31" s="9">
        <f>VLOOKUP(K26,six_brand_data,K27+2)</f>
        <v>5</v>
      </c>
      <c r="I31" s="298" t="s">
        <v>100</v>
      </c>
      <c r="J31" s="299">
        <f>VLOOKUP(K27,six_brand_data,K28+2)+0.0001</f>
        <v>5.0000999999999998</v>
      </c>
      <c r="K31" s="294">
        <f>MAX(J31:J33)</f>
        <v>5.0002000000000004</v>
      </c>
      <c r="L31" s="304">
        <f>IF(J31=K31,K28,K29)</f>
        <v>2</v>
      </c>
    </row>
    <row r="32" spans="2:24" x14ac:dyDescent="0.25">
      <c r="C32" s="108" t="s">
        <v>96</v>
      </c>
      <c r="D32" s="14">
        <f>VLOOKUP(K17,six_brand_data,K27+2)</f>
        <v>5</v>
      </c>
      <c r="F32" s="112" t="s">
        <v>99</v>
      </c>
      <c r="G32" s="14">
        <f>VLOOKUP(K26,six_brand_data,K28+2)</f>
        <v>5</v>
      </c>
      <c r="I32" s="300" t="s">
        <v>172</v>
      </c>
      <c r="J32" s="301">
        <f>VLOOKUP(K27,six_brand_data,K29+2)+0.0002</f>
        <v>5.0002000000000004</v>
      </c>
      <c r="K32" s="293"/>
      <c r="L32" s="305"/>
      <c r="Q32">
        <v>1</v>
      </c>
      <c r="R32">
        <v>0.9</v>
      </c>
    </row>
    <row r="33" spans="1:18" ht="15.75" thickBot="1" x14ac:dyDescent="0.3">
      <c r="C33" s="109" t="s">
        <v>97</v>
      </c>
      <c r="D33" s="12">
        <f>VLOOKUP(K17,six_brand_data,K28+2)</f>
        <v>5</v>
      </c>
      <c r="F33" s="10"/>
      <c r="G33" s="12"/>
      <c r="I33" s="327" t="s">
        <v>105</v>
      </c>
      <c r="J33" s="302"/>
      <c r="K33" s="306"/>
      <c r="L33" s="302"/>
      <c r="Q33">
        <v>2</v>
      </c>
      <c r="R33">
        <f>+R32-0.1</f>
        <v>0.8</v>
      </c>
    </row>
    <row r="34" spans="1:18" ht="15.75" thickBot="1" x14ac:dyDescent="0.3">
      <c r="B34" s="308" t="s">
        <v>174</v>
      </c>
      <c r="C34" s="308"/>
      <c r="D34" s="308"/>
      <c r="E34" s="308"/>
      <c r="F34" s="308"/>
      <c r="G34" s="308"/>
      <c r="H34" s="308">
        <v>2</v>
      </c>
      <c r="I34" s="308"/>
      <c r="J34" s="308"/>
      <c r="K34" s="308"/>
      <c r="L34" s="308"/>
      <c r="Q34">
        <v>3</v>
      </c>
      <c r="R34">
        <f t="shared" ref="R34:R40" si="22">+R33-0.1</f>
        <v>0.70000000000000007</v>
      </c>
    </row>
    <row r="35" spans="1:18" x14ac:dyDescent="0.25">
      <c r="B35" s="310"/>
      <c r="C35" s="311"/>
      <c r="D35" s="317" t="s">
        <v>101</v>
      </c>
      <c r="E35" s="318" t="s">
        <v>95</v>
      </c>
      <c r="F35" s="319" t="s">
        <v>96</v>
      </c>
      <c r="G35" s="319" t="s">
        <v>97</v>
      </c>
      <c r="H35" s="317" t="s">
        <v>175</v>
      </c>
      <c r="I35" s="318" t="s">
        <v>98</v>
      </c>
      <c r="J35" s="318" t="s">
        <v>99</v>
      </c>
      <c r="K35" s="318" t="s">
        <v>176</v>
      </c>
      <c r="L35" s="320" t="s">
        <v>100</v>
      </c>
      <c r="M35" s="113" t="s">
        <v>105</v>
      </c>
      <c r="Q35">
        <v>4</v>
      </c>
      <c r="R35">
        <f t="shared" si="22"/>
        <v>0.60000000000000009</v>
      </c>
    </row>
    <row r="36" spans="1:18" x14ac:dyDescent="0.25">
      <c r="B36" s="316" t="s">
        <v>0</v>
      </c>
      <c r="C36" s="28" t="s">
        <v>9</v>
      </c>
      <c r="D36" s="312">
        <v>2</v>
      </c>
      <c r="E36" s="312"/>
      <c r="F36" s="312"/>
      <c r="G36" s="312"/>
      <c r="H36" s="313">
        <f>+H34</f>
        <v>2</v>
      </c>
      <c r="I36" s="312"/>
      <c r="J36" s="312"/>
      <c r="K36" s="312">
        <f>+H34</f>
        <v>2</v>
      </c>
      <c r="L36" s="314"/>
      <c r="M36" s="114">
        <f>+K36</f>
        <v>2</v>
      </c>
      <c r="Q36">
        <v>5</v>
      </c>
      <c r="R36">
        <f t="shared" si="22"/>
        <v>0.50000000000000011</v>
      </c>
    </row>
    <row r="37" spans="1:18" x14ac:dyDescent="0.25">
      <c r="B37" s="321" t="s">
        <v>104</v>
      </c>
      <c r="C37" s="28" t="s">
        <v>6</v>
      </c>
      <c r="D37" s="312">
        <v>8</v>
      </c>
      <c r="E37" s="312">
        <f>+D31</f>
        <v>5</v>
      </c>
      <c r="F37" s="312"/>
      <c r="G37" s="312"/>
      <c r="H37" s="313">
        <f>+E37+H34</f>
        <v>7</v>
      </c>
      <c r="I37" s="312"/>
      <c r="J37" s="312">
        <f>+G32</f>
        <v>5</v>
      </c>
      <c r="K37" s="312">
        <f>+H37-(9-J37)/2</f>
        <v>5</v>
      </c>
      <c r="L37" s="314"/>
      <c r="M37" s="114">
        <f>+K37</f>
        <v>5</v>
      </c>
      <c r="Q37">
        <v>6</v>
      </c>
      <c r="R37">
        <f t="shared" si="22"/>
        <v>0.40000000000000013</v>
      </c>
    </row>
    <row r="38" spans="1:18" x14ac:dyDescent="0.25">
      <c r="B38" s="321" t="s">
        <v>102</v>
      </c>
      <c r="C38" s="28" t="s">
        <v>7</v>
      </c>
      <c r="D38" s="312">
        <v>8</v>
      </c>
      <c r="E38" s="312"/>
      <c r="F38" s="312">
        <f>+D32</f>
        <v>5</v>
      </c>
      <c r="G38" s="312"/>
      <c r="H38" s="313">
        <f>+F38+H34</f>
        <v>7</v>
      </c>
      <c r="I38" s="312"/>
      <c r="J38" s="312"/>
      <c r="K38" s="312">
        <f>+H38</f>
        <v>7</v>
      </c>
      <c r="L38" s="315">
        <f>+K31</f>
        <v>5.0002000000000004</v>
      </c>
      <c r="M38" s="328">
        <f>+K38-(6-L38)/2</f>
        <v>6.5000999999999998</v>
      </c>
      <c r="Q38">
        <v>7</v>
      </c>
      <c r="R38">
        <f t="shared" si="22"/>
        <v>0.30000000000000016</v>
      </c>
    </row>
    <row r="39" spans="1:18" x14ac:dyDescent="0.25">
      <c r="B39" s="321" t="s">
        <v>103</v>
      </c>
      <c r="C39" s="28" t="s">
        <v>10</v>
      </c>
      <c r="D39" s="312">
        <v>2</v>
      </c>
      <c r="E39" s="312"/>
      <c r="F39" s="312"/>
      <c r="G39" s="312"/>
      <c r="H39" s="313">
        <f>+H34</f>
        <v>2</v>
      </c>
      <c r="I39" s="312"/>
      <c r="J39" s="312">
        <f>+G32</f>
        <v>5</v>
      </c>
      <c r="K39" s="312">
        <f>+H39+(9-J39)/2</f>
        <v>4</v>
      </c>
      <c r="L39" s="315">
        <f>+K31</f>
        <v>5.0002000000000004</v>
      </c>
      <c r="M39" s="328">
        <f>+K39+(6-L39)/2</f>
        <v>4.4999000000000002</v>
      </c>
      <c r="Q39">
        <v>8</v>
      </c>
      <c r="R39">
        <f t="shared" si="22"/>
        <v>0.20000000000000015</v>
      </c>
    </row>
    <row r="40" spans="1:18" x14ac:dyDescent="0.25">
      <c r="A40" s="1"/>
      <c r="B40" s="316"/>
      <c r="C40" s="40"/>
      <c r="D40" s="312"/>
      <c r="E40" s="312"/>
      <c r="F40" s="312"/>
      <c r="G40" s="312"/>
      <c r="H40" s="40"/>
      <c r="I40" s="312"/>
      <c r="J40" s="312"/>
      <c r="K40" s="312"/>
      <c r="L40" s="314"/>
      <c r="M40" s="115"/>
      <c r="Q40">
        <v>9</v>
      </c>
      <c r="R40">
        <f t="shared" si="22"/>
        <v>0.10000000000000014</v>
      </c>
    </row>
    <row r="41" spans="1:18" x14ac:dyDescent="0.25">
      <c r="B41" s="316" t="s">
        <v>1</v>
      </c>
      <c r="C41" s="28" t="s">
        <v>9</v>
      </c>
      <c r="D41" s="312">
        <v>2</v>
      </c>
      <c r="E41" s="312"/>
      <c r="F41" s="312"/>
      <c r="G41" s="312"/>
      <c r="H41" s="313">
        <f>+H34</f>
        <v>2</v>
      </c>
      <c r="I41" s="312"/>
      <c r="J41" s="312"/>
      <c r="K41" s="312">
        <f>+H41</f>
        <v>2</v>
      </c>
      <c r="L41" s="314"/>
      <c r="M41" s="114">
        <f>+K41</f>
        <v>2</v>
      </c>
    </row>
    <row r="42" spans="1:18" x14ac:dyDescent="0.25">
      <c r="B42" s="321" t="s">
        <v>104</v>
      </c>
      <c r="C42" s="28" t="s">
        <v>6</v>
      </c>
      <c r="D42" s="312">
        <v>8</v>
      </c>
      <c r="E42" s="312">
        <f>+D31</f>
        <v>5</v>
      </c>
      <c r="F42" s="312"/>
      <c r="G42" s="312"/>
      <c r="H42" s="313">
        <f>+E42+H34</f>
        <v>7</v>
      </c>
      <c r="I42" s="312">
        <f>+G31</f>
        <v>5</v>
      </c>
      <c r="J42" s="312"/>
      <c r="K42" s="312">
        <f>+H42-(9-I42)/2</f>
        <v>5</v>
      </c>
      <c r="L42" s="314"/>
      <c r="M42" s="114">
        <f>+K42</f>
        <v>5</v>
      </c>
    </row>
    <row r="43" spans="1:18" x14ac:dyDescent="0.25">
      <c r="B43" s="321" t="s">
        <v>102</v>
      </c>
      <c r="C43" s="28" t="s">
        <v>7</v>
      </c>
      <c r="D43" s="312">
        <v>2</v>
      </c>
      <c r="E43" s="312"/>
      <c r="F43" s="312"/>
      <c r="G43" s="312"/>
      <c r="H43" s="313">
        <f>+H34</f>
        <v>2</v>
      </c>
      <c r="I43" s="312">
        <f>+G31</f>
        <v>5</v>
      </c>
      <c r="J43" s="312"/>
      <c r="K43" s="312">
        <f>+H43+(9-I43)/2</f>
        <v>4</v>
      </c>
      <c r="L43" s="315">
        <f>+K31</f>
        <v>5.0002000000000004</v>
      </c>
      <c r="M43" s="114">
        <f>+K43-(6-L43)/2</f>
        <v>3.5001000000000002</v>
      </c>
    </row>
    <row r="44" spans="1:18" ht="15.75" thickBot="1" x14ac:dyDescent="0.3">
      <c r="B44" s="322" t="s">
        <v>103</v>
      </c>
      <c r="C44" s="323" t="s">
        <v>10</v>
      </c>
      <c r="D44" s="324">
        <v>8</v>
      </c>
      <c r="E44" s="324"/>
      <c r="F44" s="324"/>
      <c r="G44" s="324">
        <f>+D33</f>
        <v>5</v>
      </c>
      <c r="H44" s="325">
        <f>+G44+H34</f>
        <v>7</v>
      </c>
      <c r="I44" s="324"/>
      <c r="J44" s="324"/>
      <c r="K44" s="325">
        <f>+H44</f>
        <v>7</v>
      </c>
      <c r="L44" s="326">
        <f>+K31</f>
        <v>5.0002000000000004</v>
      </c>
      <c r="M44" s="116">
        <f>+K44+(6-L44)/2</f>
        <v>7.4999000000000002</v>
      </c>
    </row>
    <row r="47" spans="1:18" x14ac:dyDescent="0.25">
      <c r="C47" s="132" t="s">
        <v>4</v>
      </c>
      <c r="D47" s="130">
        <v>1</v>
      </c>
      <c r="E47" s="130">
        <v>2</v>
      </c>
      <c r="F47" s="130">
        <v>3</v>
      </c>
      <c r="G47" s="130">
        <v>4</v>
      </c>
      <c r="H47" s="130">
        <v>5</v>
      </c>
      <c r="I47" s="130">
        <v>6</v>
      </c>
      <c r="J47" s="130">
        <v>7</v>
      </c>
    </row>
    <row r="48" spans="1:18" x14ac:dyDescent="0.25">
      <c r="C48" s="27" t="s">
        <v>9</v>
      </c>
      <c r="D48" s="131">
        <f>IF($K$17=D$47,$M36,0)</f>
        <v>0</v>
      </c>
      <c r="E48" s="131">
        <f t="shared" ref="E48:J48" si="23">IF($K$17=E$47,$M36,0)</f>
        <v>0</v>
      </c>
      <c r="F48" s="131">
        <f t="shared" si="23"/>
        <v>0</v>
      </c>
      <c r="G48" s="131">
        <f t="shared" si="23"/>
        <v>0</v>
      </c>
      <c r="H48" s="131">
        <f t="shared" si="23"/>
        <v>0</v>
      </c>
      <c r="I48" s="131">
        <f t="shared" si="23"/>
        <v>2</v>
      </c>
      <c r="J48" s="131">
        <f t="shared" si="23"/>
        <v>0</v>
      </c>
    </row>
    <row r="49" spans="3:14" x14ac:dyDescent="0.25">
      <c r="C49" s="27" t="s">
        <v>6</v>
      </c>
      <c r="D49" s="131">
        <f>IF($K$26=D$47,$M37,0)</f>
        <v>0</v>
      </c>
      <c r="E49" s="131">
        <f t="shared" ref="E49:J49" si="24">IF($K$26=E$47,$M37,0)</f>
        <v>0</v>
      </c>
      <c r="F49" s="131">
        <f t="shared" si="24"/>
        <v>0</v>
      </c>
      <c r="G49" s="131">
        <f t="shared" si="24"/>
        <v>0</v>
      </c>
      <c r="H49" s="131">
        <f t="shared" si="24"/>
        <v>5</v>
      </c>
      <c r="I49" s="131">
        <f t="shared" si="24"/>
        <v>0</v>
      </c>
      <c r="J49" s="131">
        <f t="shared" si="24"/>
        <v>0</v>
      </c>
    </row>
    <row r="50" spans="3:14" x14ac:dyDescent="0.25">
      <c r="C50" s="27" t="s">
        <v>7</v>
      </c>
      <c r="D50" s="131">
        <f>IF($K$27=D$47,$M38,0)</f>
        <v>0</v>
      </c>
      <c r="E50" s="131">
        <f t="shared" ref="E50:J50" si="25">IF($K$27=E$47,$M38,0)</f>
        <v>0</v>
      </c>
      <c r="F50" s="131">
        <f t="shared" si="25"/>
        <v>0</v>
      </c>
      <c r="G50" s="131">
        <f t="shared" si="25"/>
        <v>6.5000999999999998</v>
      </c>
      <c r="H50" s="131">
        <f t="shared" si="25"/>
        <v>0</v>
      </c>
      <c r="I50" s="131">
        <f t="shared" si="25"/>
        <v>0</v>
      </c>
      <c r="J50" s="131">
        <f t="shared" si="25"/>
        <v>0</v>
      </c>
    </row>
    <row r="51" spans="3:14" x14ac:dyDescent="0.25">
      <c r="C51" s="132" t="s">
        <v>10</v>
      </c>
      <c r="D51" s="131">
        <f>IF($L$31=D$47,$M39,0)</f>
        <v>0</v>
      </c>
      <c r="E51" s="131">
        <f t="shared" ref="E51:J51" si="26">IF($L$31=E$47,$M39,0)</f>
        <v>4.4999000000000002</v>
      </c>
      <c r="F51" s="131">
        <f t="shared" si="26"/>
        <v>0</v>
      </c>
      <c r="G51" s="131">
        <f t="shared" si="26"/>
        <v>0</v>
      </c>
      <c r="H51" s="131">
        <f t="shared" si="26"/>
        <v>0</v>
      </c>
      <c r="I51" s="131">
        <f t="shared" si="26"/>
        <v>0</v>
      </c>
      <c r="J51" s="131">
        <f t="shared" si="26"/>
        <v>0</v>
      </c>
    </row>
    <row r="52" spans="3:14" x14ac:dyDescent="0.25">
      <c r="C52" s="118"/>
      <c r="D52" s="119">
        <f>SUM(D48:D51)</f>
        <v>0</v>
      </c>
      <c r="E52" s="119">
        <f t="shared" ref="E52:J52" si="27">SUM(E48:E51)</f>
        <v>4.4999000000000002</v>
      </c>
      <c r="F52" s="119">
        <f t="shared" si="27"/>
        <v>0</v>
      </c>
      <c r="G52" s="119">
        <f t="shared" si="27"/>
        <v>6.5000999999999998</v>
      </c>
      <c r="H52" s="119">
        <f t="shared" si="27"/>
        <v>5</v>
      </c>
      <c r="I52" s="119">
        <f t="shared" si="27"/>
        <v>2</v>
      </c>
      <c r="J52" s="119">
        <f t="shared" si="27"/>
        <v>0</v>
      </c>
    </row>
    <row r="53" spans="3:14" x14ac:dyDescent="0.25">
      <c r="C53" s="132" t="s">
        <v>5</v>
      </c>
      <c r="D53" s="130">
        <v>1</v>
      </c>
      <c r="E53" s="130">
        <v>2</v>
      </c>
      <c r="F53" s="130">
        <v>3</v>
      </c>
      <c r="G53" s="130">
        <v>4</v>
      </c>
      <c r="H53" s="130">
        <v>5</v>
      </c>
      <c r="I53" s="130">
        <v>6</v>
      </c>
      <c r="J53" s="130">
        <v>7</v>
      </c>
    </row>
    <row r="54" spans="3:14" x14ac:dyDescent="0.25">
      <c r="C54" s="27" t="s">
        <v>9</v>
      </c>
      <c r="D54" s="131">
        <f>IF($K$17=D$47,$M41,0)</f>
        <v>0</v>
      </c>
      <c r="E54" s="131">
        <f t="shared" ref="E54:J54" si="28">IF($K$17=E$47,$M41,0)</f>
        <v>0</v>
      </c>
      <c r="F54" s="131">
        <f t="shared" si="28"/>
        <v>0</v>
      </c>
      <c r="G54" s="131">
        <f t="shared" si="28"/>
        <v>0</v>
      </c>
      <c r="H54" s="131">
        <f t="shared" si="28"/>
        <v>0</v>
      </c>
      <c r="I54" s="131">
        <f t="shared" si="28"/>
        <v>2</v>
      </c>
      <c r="J54" s="131">
        <f t="shared" si="28"/>
        <v>0</v>
      </c>
    </row>
    <row r="55" spans="3:14" x14ac:dyDescent="0.25">
      <c r="C55" s="27" t="s">
        <v>6</v>
      </c>
      <c r="D55" s="131">
        <f>IF($K$26=D$47,$M42,0)</f>
        <v>0</v>
      </c>
      <c r="E55" s="131">
        <f t="shared" ref="E55:J55" si="29">IF($K$26=E$47,$M42,0)</f>
        <v>0</v>
      </c>
      <c r="F55" s="131">
        <f t="shared" si="29"/>
        <v>0</v>
      </c>
      <c r="G55" s="131">
        <f t="shared" si="29"/>
        <v>0</v>
      </c>
      <c r="H55" s="131">
        <f t="shared" si="29"/>
        <v>5</v>
      </c>
      <c r="I55" s="131">
        <f t="shared" si="29"/>
        <v>0</v>
      </c>
      <c r="J55" s="131">
        <f t="shared" si="29"/>
        <v>0</v>
      </c>
    </row>
    <row r="56" spans="3:14" x14ac:dyDescent="0.25">
      <c r="C56" s="27" t="s">
        <v>7</v>
      </c>
      <c r="D56" s="131">
        <f>IF($K$27=D$47,$M43,0)</f>
        <v>0</v>
      </c>
      <c r="E56" s="131">
        <f t="shared" ref="E56:J56" si="30">IF($K$27=E$47,$M43,0)</f>
        <v>0</v>
      </c>
      <c r="F56" s="131">
        <f t="shared" si="30"/>
        <v>0</v>
      </c>
      <c r="G56" s="131">
        <f t="shared" si="30"/>
        <v>3.5001000000000002</v>
      </c>
      <c r="H56" s="131">
        <f t="shared" si="30"/>
        <v>0</v>
      </c>
      <c r="I56" s="131">
        <f t="shared" si="30"/>
        <v>0</v>
      </c>
      <c r="J56" s="131">
        <f t="shared" si="30"/>
        <v>0</v>
      </c>
    </row>
    <row r="57" spans="3:14" ht="15.75" thickBot="1" x14ac:dyDescent="0.3">
      <c r="C57" s="132" t="s">
        <v>10</v>
      </c>
      <c r="D57" s="131">
        <f>IF($L$31=D$47,$M44,0)</f>
        <v>0</v>
      </c>
      <c r="E57" s="131">
        <f t="shared" ref="E57:J57" si="31">IF($L$31=E$47,$M44,0)</f>
        <v>7.4999000000000002</v>
      </c>
      <c r="F57" s="131">
        <f t="shared" si="31"/>
        <v>0</v>
      </c>
      <c r="G57" s="131">
        <f t="shared" si="31"/>
        <v>0</v>
      </c>
      <c r="H57" s="131">
        <f t="shared" si="31"/>
        <v>0</v>
      </c>
      <c r="I57" s="131">
        <f t="shared" si="31"/>
        <v>0</v>
      </c>
      <c r="J57" s="131">
        <f t="shared" si="31"/>
        <v>0</v>
      </c>
    </row>
    <row r="58" spans="3:14" ht="15.75" thickBot="1" x14ac:dyDescent="0.3">
      <c r="C58" s="133"/>
      <c r="D58" s="120">
        <f>SUM(D54:D57)</f>
        <v>0</v>
      </c>
      <c r="E58" s="120">
        <f t="shared" ref="E58:J58" si="32">SUM(E54:E57)</f>
        <v>7.4999000000000002</v>
      </c>
      <c r="F58" s="120">
        <f t="shared" si="32"/>
        <v>0</v>
      </c>
      <c r="G58" s="120">
        <f t="shared" si="32"/>
        <v>3.5001000000000002</v>
      </c>
      <c r="H58" s="120">
        <f t="shared" si="32"/>
        <v>5</v>
      </c>
      <c r="I58" s="120">
        <f t="shared" si="32"/>
        <v>2</v>
      </c>
      <c r="J58" s="120">
        <f t="shared" si="32"/>
        <v>0</v>
      </c>
      <c r="L58" s="125" t="s">
        <v>106</v>
      </c>
    </row>
    <row r="59" spans="3:14" ht="15.75" thickBot="1" x14ac:dyDescent="0.3">
      <c r="C59" s="28" t="s">
        <v>106</v>
      </c>
      <c r="D59" s="121">
        <f>IF(D58=0,D53,0)</f>
        <v>1</v>
      </c>
      <c r="E59" s="122">
        <f t="shared" ref="E59:I59" si="33">IF(E58=0,E53,0)</f>
        <v>0</v>
      </c>
      <c r="F59" s="122">
        <f t="shared" si="33"/>
        <v>3</v>
      </c>
      <c r="G59" s="122">
        <f t="shared" si="33"/>
        <v>0</v>
      </c>
      <c r="H59" s="122">
        <f t="shared" si="33"/>
        <v>0</v>
      </c>
      <c r="I59" s="122">
        <f t="shared" si="33"/>
        <v>0</v>
      </c>
      <c r="J59" s="123"/>
      <c r="L59" s="126">
        <f>MAX(D59:I59)</f>
        <v>3</v>
      </c>
      <c r="N59">
        <f>MIN(D15:I15)</f>
        <v>1</v>
      </c>
    </row>
    <row r="60" spans="3:14" x14ac:dyDescent="0.25">
      <c r="C60" s="28"/>
      <c r="D60" s="2"/>
      <c r="E60" s="2"/>
      <c r="F60" s="2"/>
      <c r="G60" s="2"/>
      <c r="H60" s="2"/>
      <c r="I60" s="2"/>
      <c r="J60" s="2"/>
      <c r="L60" s="126">
        <f>+K62-L59</f>
        <v>1</v>
      </c>
    </row>
    <row r="61" spans="3:14" ht="15.75" thickBot="1" x14ac:dyDescent="0.3">
      <c r="C61" s="28"/>
      <c r="D61" s="2">
        <f>IF(D59&gt;0,D59,"  ")</f>
        <v>1</v>
      </c>
      <c r="E61" s="2" t="str">
        <f t="shared" ref="E61:J61" si="34">IF(E59&gt;0,E59,"  ")</f>
        <v xml:space="preserve">  </v>
      </c>
      <c r="F61" s="2">
        <f t="shared" si="34"/>
        <v>3</v>
      </c>
      <c r="G61" s="2" t="str">
        <f t="shared" si="34"/>
        <v xml:space="preserve">  </v>
      </c>
      <c r="H61" s="2" t="str">
        <f t="shared" si="34"/>
        <v xml:space="preserve">  </v>
      </c>
      <c r="I61" s="2" t="str">
        <f t="shared" si="34"/>
        <v xml:space="preserve">  </v>
      </c>
      <c r="J61" s="2" t="str">
        <f t="shared" si="34"/>
        <v xml:space="preserve">  </v>
      </c>
      <c r="L61" s="127"/>
    </row>
    <row r="62" spans="3:14" x14ac:dyDescent="0.25">
      <c r="C62" s="28"/>
      <c r="D62" s="2" t="str">
        <f>IF(D61=$N59," ",D61)</f>
        <v xml:space="preserve"> </v>
      </c>
      <c r="E62" s="2" t="str">
        <f t="shared" ref="E62:J62" si="35">IF(E61=$N59," ",E61)</f>
        <v xml:space="preserve">  </v>
      </c>
      <c r="F62" s="2">
        <f t="shared" si="35"/>
        <v>3</v>
      </c>
      <c r="G62" s="2" t="str">
        <f t="shared" si="35"/>
        <v xml:space="preserve">  </v>
      </c>
      <c r="H62" s="2" t="str">
        <f t="shared" si="35"/>
        <v xml:space="preserve">  </v>
      </c>
      <c r="I62" s="2" t="str">
        <f t="shared" si="35"/>
        <v xml:space="preserve">  </v>
      </c>
      <c r="J62" s="2" t="str">
        <f t="shared" si="35"/>
        <v xml:space="preserve">  </v>
      </c>
      <c r="K62" s="38">
        <f>SUM(D59:I59)</f>
        <v>4</v>
      </c>
    </row>
    <row r="63" spans="3:14" x14ac:dyDescent="0.25">
      <c r="C63" s="28"/>
      <c r="D63" s="2"/>
      <c r="E63" s="2"/>
      <c r="F63" s="2"/>
      <c r="G63" s="2"/>
      <c r="H63" s="2"/>
      <c r="I63" s="2"/>
      <c r="J63" s="2"/>
    </row>
    <row r="64" spans="3:14" x14ac:dyDescent="0.25">
      <c r="C64" s="28"/>
      <c r="D64" s="2"/>
      <c r="E64" s="2"/>
      <c r="F64" s="2"/>
      <c r="G64" s="2"/>
      <c r="H64" s="2"/>
      <c r="I64" s="2"/>
      <c r="J64" s="2"/>
    </row>
    <row r="65" spans="1:17" x14ac:dyDescent="0.25">
      <c r="C65" s="28"/>
      <c r="D65" s="2"/>
      <c r="E65" s="2"/>
      <c r="F65" s="2"/>
      <c r="G65" s="2"/>
      <c r="H65" s="2"/>
      <c r="I65" s="2"/>
      <c r="J65" s="2"/>
    </row>
    <row r="66" spans="1:17" x14ac:dyDescent="0.25">
      <c r="C66" s="28"/>
      <c r="D66" s="2"/>
      <c r="E66" s="2"/>
      <c r="F66" s="2"/>
      <c r="G66" s="2"/>
      <c r="H66" s="2"/>
      <c r="I66" s="2"/>
      <c r="J66" s="2"/>
    </row>
    <row r="68" spans="1:17" x14ac:dyDescent="0.25">
      <c r="A68" s="118"/>
      <c r="B68" s="118"/>
      <c r="C68" s="118"/>
      <c r="D68" s="118"/>
      <c r="E68" s="118"/>
      <c r="F68" s="118"/>
      <c r="G68" s="118"/>
      <c r="H68" s="118"/>
      <c r="I68" s="118"/>
      <c r="J68" s="118"/>
      <c r="K68" s="118"/>
      <c r="L68" s="118"/>
      <c r="M68" s="118"/>
      <c r="N68" s="118"/>
      <c r="O68" s="118"/>
      <c r="P68" s="118"/>
      <c r="Q68" s="118"/>
    </row>
    <row r="69" spans="1:17" x14ac:dyDescent="0.25">
      <c r="C69" t="s">
        <v>17</v>
      </c>
      <c r="D69">
        <f>IF(D14=5,D2,0)</f>
        <v>0</v>
      </c>
      <c r="E69">
        <f t="shared" ref="E69:J69" si="36">IF(E14=5,E2,0)</f>
        <v>2</v>
      </c>
      <c r="F69">
        <f t="shared" si="36"/>
        <v>0</v>
      </c>
      <c r="G69">
        <f t="shared" si="36"/>
        <v>0</v>
      </c>
      <c r="H69">
        <f t="shared" si="36"/>
        <v>0</v>
      </c>
      <c r="I69">
        <f t="shared" si="36"/>
        <v>0</v>
      </c>
      <c r="J69">
        <f t="shared" si="36"/>
        <v>0</v>
      </c>
      <c r="K69" s="124">
        <f>+L59</f>
        <v>3</v>
      </c>
    </row>
    <row r="70" spans="1:17" x14ac:dyDescent="0.25">
      <c r="C70" s="1"/>
    </row>
    <row r="71" spans="1:17" x14ac:dyDescent="0.25">
      <c r="B71" s="33" t="s">
        <v>19</v>
      </c>
      <c r="C71" s="1">
        <f>VLOOKUP(K17,six_brand_data,K69+2)</f>
        <v>5</v>
      </c>
      <c r="D71" s="2">
        <f>LOOKUP(C71,weights)</f>
        <v>20</v>
      </c>
      <c r="E71" s="36">
        <f>+D71/D$75</f>
        <v>0.25</v>
      </c>
      <c r="N71" s="4">
        <v>1</v>
      </c>
      <c r="O71" s="130">
        <v>100</v>
      </c>
    </row>
    <row r="72" spans="1:17" x14ac:dyDescent="0.25">
      <c r="B72" s="32" t="s">
        <v>20</v>
      </c>
      <c r="C72" s="1">
        <f>VLOOKUP(K26,six_brand_data,K69+2)</f>
        <v>5</v>
      </c>
      <c r="D72" s="2">
        <f>LOOKUP(C72,weights)</f>
        <v>20</v>
      </c>
      <c r="E72" s="36">
        <f>+D72/D$75</f>
        <v>0.25</v>
      </c>
      <c r="N72" s="4">
        <v>2</v>
      </c>
      <c r="O72" s="130">
        <v>80</v>
      </c>
    </row>
    <row r="73" spans="1:17" x14ac:dyDescent="0.25">
      <c r="B73" s="33" t="s">
        <v>21</v>
      </c>
      <c r="C73">
        <f>VLOOKUP(K27,six_brand_data,K69+2)</f>
        <v>5</v>
      </c>
      <c r="D73" s="2">
        <f>LOOKUP(C73,weights)</f>
        <v>20</v>
      </c>
      <c r="E73" s="36">
        <f>+D73/D$75</f>
        <v>0.25</v>
      </c>
      <c r="N73" s="4">
        <v>3</v>
      </c>
      <c r="O73" s="130">
        <v>60</v>
      </c>
    </row>
    <row r="74" spans="1:17" x14ac:dyDescent="0.25">
      <c r="B74" s="307" t="s">
        <v>22</v>
      </c>
      <c r="C74" s="5">
        <f>VLOOKUP(L31,five_brand_data,K69+2)</f>
        <v>5</v>
      </c>
      <c r="D74" s="2">
        <f>LOOKUP(C74,weights)</f>
        <v>20</v>
      </c>
      <c r="E74" s="36">
        <f>+D74/D$75</f>
        <v>0.25</v>
      </c>
      <c r="N74" s="4">
        <v>4</v>
      </c>
      <c r="O74" s="130">
        <v>40</v>
      </c>
    </row>
    <row r="75" spans="1:17" x14ac:dyDescent="0.25">
      <c r="D75" s="38">
        <f>SUM(D71:D74)</f>
        <v>80</v>
      </c>
      <c r="N75" s="4">
        <v>5</v>
      </c>
      <c r="O75" s="130">
        <v>20</v>
      </c>
    </row>
    <row r="76" spans="1:17" x14ac:dyDescent="0.25">
      <c r="B76" s="1"/>
      <c r="N76" s="4">
        <v>6</v>
      </c>
      <c r="O76" s="130">
        <v>10</v>
      </c>
    </row>
    <row r="77" spans="1:17" x14ac:dyDescent="0.25">
      <c r="C77" s="1" t="s">
        <v>11</v>
      </c>
      <c r="D77" s="2">
        <f t="shared" ref="D77:J77" si="37">+$E$71*D48</f>
        <v>0</v>
      </c>
      <c r="E77" s="2">
        <f t="shared" si="37"/>
        <v>0</v>
      </c>
      <c r="F77" s="2">
        <f t="shared" si="37"/>
        <v>0</v>
      </c>
      <c r="G77" s="2">
        <f t="shared" si="37"/>
        <v>0</v>
      </c>
      <c r="H77" s="2">
        <f t="shared" si="37"/>
        <v>0</v>
      </c>
      <c r="I77" s="2">
        <f t="shared" si="37"/>
        <v>0.5</v>
      </c>
      <c r="J77" s="2">
        <f t="shared" si="37"/>
        <v>0</v>
      </c>
      <c r="N77" s="4">
        <v>7</v>
      </c>
      <c r="O77" s="130">
        <v>5</v>
      </c>
    </row>
    <row r="78" spans="1:17" x14ac:dyDescent="0.25">
      <c r="C78" s="1" t="s">
        <v>12</v>
      </c>
      <c r="D78" s="2">
        <f t="shared" ref="D78:J78" si="38">+$E$72*D49</f>
        <v>0</v>
      </c>
      <c r="E78" s="2">
        <f t="shared" si="38"/>
        <v>0</v>
      </c>
      <c r="F78" s="2">
        <f t="shared" si="38"/>
        <v>0</v>
      </c>
      <c r="G78" s="2">
        <f t="shared" si="38"/>
        <v>0</v>
      </c>
      <c r="H78" s="2">
        <f t="shared" si="38"/>
        <v>1.25</v>
      </c>
      <c r="I78" s="2">
        <f t="shared" si="38"/>
        <v>0</v>
      </c>
      <c r="J78" s="2">
        <f t="shared" si="38"/>
        <v>0</v>
      </c>
      <c r="N78" s="4">
        <v>8</v>
      </c>
      <c r="O78" s="130">
        <v>5</v>
      </c>
    </row>
    <row r="79" spans="1:17" x14ac:dyDescent="0.25">
      <c r="C79" s="1" t="s">
        <v>13</v>
      </c>
      <c r="D79" s="2">
        <f t="shared" ref="D79:J79" si="39">+$E$73*D50</f>
        <v>0</v>
      </c>
      <c r="E79" s="2">
        <f t="shared" si="39"/>
        <v>0</v>
      </c>
      <c r="F79" s="2">
        <f t="shared" si="39"/>
        <v>0</v>
      </c>
      <c r="G79" s="2">
        <f t="shared" si="39"/>
        <v>1.6250249999999999</v>
      </c>
      <c r="H79" s="2">
        <f t="shared" si="39"/>
        <v>0</v>
      </c>
      <c r="I79" s="2">
        <f t="shared" si="39"/>
        <v>0</v>
      </c>
      <c r="J79" s="2">
        <f t="shared" si="39"/>
        <v>0</v>
      </c>
      <c r="N79" s="4">
        <v>9</v>
      </c>
      <c r="O79" s="130">
        <v>5</v>
      </c>
    </row>
    <row r="80" spans="1:17" x14ac:dyDescent="0.25">
      <c r="C80" s="1" t="s">
        <v>18</v>
      </c>
      <c r="D80" s="2">
        <f t="shared" ref="D80:J80" si="40">+$E$74*D51</f>
        <v>0</v>
      </c>
      <c r="E80" s="2">
        <f t="shared" si="40"/>
        <v>1.1249750000000001</v>
      </c>
      <c r="F80" s="2">
        <f t="shared" si="40"/>
        <v>0</v>
      </c>
      <c r="G80" s="2">
        <f t="shared" si="40"/>
        <v>0</v>
      </c>
      <c r="H80" s="2">
        <f t="shared" si="40"/>
        <v>0</v>
      </c>
      <c r="I80" s="2">
        <f t="shared" si="40"/>
        <v>0</v>
      </c>
      <c r="J80" s="2">
        <f t="shared" si="40"/>
        <v>0</v>
      </c>
      <c r="K80" s="38">
        <f>SUM(D77:J80)</f>
        <v>4.5</v>
      </c>
    </row>
    <row r="82" spans="2:11" x14ac:dyDescent="0.25">
      <c r="C82" s="1" t="s">
        <v>14</v>
      </c>
      <c r="D82" s="2">
        <f t="shared" ref="D82:J82" si="41">+$E$71*D54</f>
        <v>0</v>
      </c>
      <c r="E82" s="2">
        <f t="shared" si="41"/>
        <v>0</v>
      </c>
      <c r="F82" s="2">
        <f t="shared" si="41"/>
        <v>0</v>
      </c>
      <c r="G82" s="2">
        <f t="shared" si="41"/>
        <v>0</v>
      </c>
      <c r="H82" s="2">
        <f t="shared" si="41"/>
        <v>0</v>
      </c>
      <c r="I82" s="2">
        <f t="shared" si="41"/>
        <v>0.5</v>
      </c>
      <c r="J82" s="2">
        <f t="shared" si="41"/>
        <v>0</v>
      </c>
      <c r="K82" s="2"/>
    </row>
    <row r="83" spans="2:11" x14ac:dyDescent="0.25">
      <c r="C83" s="1" t="s">
        <v>15</v>
      </c>
      <c r="D83" s="2">
        <f t="shared" ref="D83:J83" si="42">+$E$72*D55</f>
        <v>0</v>
      </c>
      <c r="E83" s="2">
        <f t="shared" si="42"/>
        <v>0</v>
      </c>
      <c r="F83" s="2">
        <f t="shared" si="42"/>
        <v>0</v>
      </c>
      <c r="G83" s="2">
        <f t="shared" si="42"/>
        <v>0</v>
      </c>
      <c r="H83" s="2">
        <f t="shared" si="42"/>
        <v>1.25</v>
      </c>
      <c r="I83" s="2">
        <f t="shared" si="42"/>
        <v>0</v>
      </c>
      <c r="J83" s="2">
        <f t="shared" si="42"/>
        <v>0</v>
      </c>
      <c r="K83" s="2"/>
    </row>
    <row r="84" spans="2:11" x14ac:dyDescent="0.25">
      <c r="C84" s="1" t="s">
        <v>16</v>
      </c>
      <c r="D84" s="2">
        <f t="shared" ref="D84:J84" si="43">+$E$73*D56</f>
        <v>0</v>
      </c>
      <c r="E84" s="2">
        <f t="shared" si="43"/>
        <v>0</v>
      </c>
      <c r="F84" s="2">
        <f t="shared" si="43"/>
        <v>0</v>
      </c>
      <c r="G84" s="2">
        <f t="shared" si="43"/>
        <v>0.87502500000000005</v>
      </c>
      <c r="H84" s="2">
        <f t="shared" si="43"/>
        <v>0</v>
      </c>
      <c r="I84" s="2">
        <f t="shared" si="43"/>
        <v>0</v>
      </c>
      <c r="J84" s="2">
        <f t="shared" si="43"/>
        <v>0</v>
      </c>
      <c r="K84" s="2"/>
    </row>
    <row r="85" spans="2:11" x14ac:dyDescent="0.25">
      <c r="C85" s="1" t="s">
        <v>23</v>
      </c>
      <c r="D85" s="2">
        <f t="shared" ref="D85:J85" si="44">+$E$74*D57</f>
        <v>0</v>
      </c>
      <c r="E85" s="2">
        <f t="shared" si="44"/>
        <v>1.8749750000000001</v>
      </c>
      <c r="F85" s="2">
        <f t="shared" si="44"/>
        <v>0</v>
      </c>
      <c r="G85" s="2">
        <f t="shared" si="44"/>
        <v>0</v>
      </c>
      <c r="H85" s="2">
        <f t="shared" si="44"/>
        <v>0</v>
      </c>
      <c r="I85" s="2">
        <f t="shared" si="44"/>
        <v>0</v>
      </c>
      <c r="J85" s="2">
        <f t="shared" si="44"/>
        <v>0</v>
      </c>
      <c r="K85" s="38">
        <f>SUM(D82:J85)</f>
        <v>4.5</v>
      </c>
    </row>
    <row r="87" spans="2:11" x14ac:dyDescent="0.25">
      <c r="B87" s="27" t="s">
        <v>17</v>
      </c>
      <c r="C87" s="27" t="s">
        <v>4</v>
      </c>
      <c r="D87" s="131">
        <f t="shared" ref="D87:J87" si="45">IF($K69=D2,$K80,0)</f>
        <v>0</v>
      </c>
      <c r="E87" s="131">
        <f t="shared" si="45"/>
        <v>0</v>
      </c>
      <c r="F87" s="131">
        <f t="shared" si="45"/>
        <v>4.5</v>
      </c>
      <c r="G87" s="131">
        <f t="shared" si="45"/>
        <v>0</v>
      </c>
      <c r="H87" s="131">
        <f t="shared" si="45"/>
        <v>0</v>
      </c>
      <c r="I87" s="131">
        <f t="shared" si="45"/>
        <v>0</v>
      </c>
      <c r="J87" s="131">
        <f t="shared" si="45"/>
        <v>0</v>
      </c>
    </row>
    <row r="88" spans="2:11" x14ac:dyDescent="0.25">
      <c r="B88" s="4"/>
      <c r="C88" s="27" t="s">
        <v>5</v>
      </c>
      <c r="D88" s="131">
        <f t="shared" ref="D88:J88" si="46">IF($K69=D2,$K85,0)</f>
        <v>0</v>
      </c>
      <c r="E88" s="131">
        <f t="shared" si="46"/>
        <v>0</v>
      </c>
      <c r="F88" s="131">
        <f t="shared" si="46"/>
        <v>4.5</v>
      </c>
      <c r="G88" s="131">
        <f t="shared" si="46"/>
        <v>0</v>
      </c>
      <c r="H88" s="131">
        <f t="shared" si="46"/>
        <v>0</v>
      </c>
      <c r="I88" s="131">
        <f t="shared" si="46"/>
        <v>0</v>
      </c>
      <c r="J88" s="131">
        <f t="shared" si="46"/>
        <v>0</v>
      </c>
    </row>
    <row r="90" spans="2:11" x14ac:dyDescent="0.25">
      <c r="D90" s="130">
        <v>1</v>
      </c>
      <c r="E90" s="130">
        <v>2</v>
      </c>
      <c r="F90" s="130">
        <v>3</v>
      </c>
      <c r="G90" s="130">
        <v>4</v>
      </c>
      <c r="H90" s="130">
        <v>5</v>
      </c>
      <c r="I90" s="130">
        <v>6</v>
      </c>
      <c r="J90" s="130">
        <v>7</v>
      </c>
    </row>
    <row r="91" spans="2:11" x14ac:dyDescent="0.25">
      <c r="C91" s="132" t="s">
        <v>4</v>
      </c>
      <c r="D91" s="37">
        <f t="shared" ref="D91:J91" si="47">+D87+D52</f>
        <v>0</v>
      </c>
      <c r="E91" s="37">
        <f t="shared" si="47"/>
        <v>4.4999000000000002</v>
      </c>
      <c r="F91" s="37">
        <f t="shared" si="47"/>
        <v>4.5</v>
      </c>
      <c r="G91" s="37">
        <f t="shared" si="47"/>
        <v>6.5000999999999998</v>
      </c>
      <c r="H91" s="37">
        <f t="shared" si="47"/>
        <v>5</v>
      </c>
      <c r="I91" s="37">
        <f t="shared" si="47"/>
        <v>2</v>
      </c>
      <c r="J91" s="37">
        <f t="shared" si="47"/>
        <v>0</v>
      </c>
    </row>
    <row r="92" spans="2:11" x14ac:dyDescent="0.25">
      <c r="C92" s="27" t="s">
        <v>5</v>
      </c>
      <c r="D92" s="37">
        <f t="shared" ref="D92:J92" si="48">+D88+D58</f>
        <v>0</v>
      </c>
      <c r="E92" s="37">
        <f t="shared" si="48"/>
        <v>7.4999000000000002</v>
      </c>
      <c r="F92" s="37">
        <f t="shared" si="48"/>
        <v>4.5</v>
      </c>
      <c r="G92" s="37">
        <f t="shared" si="48"/>
        <v>3.5001000000000002</v>
      </c>
      <c r="H92" s="37">
        <f t="shared" si="48"/>
        <v>5</v>
      </c>
      <c r="I92" s="37">
        <f t="shared" si="48"/>
        <v>2</v>
      </c>
      <c r="J92" s="37">
        <f t="shared" si="48"/>
        <v>0</v>
      </c>
    </row>
    <row r="97" spans="2:11" x14ac:dyDescent="0.25">
      <c r="C97" t="s">
        <v>24</v>
      </c>
      <c r="K97" s="124">
        <f>+L60</f>
        <v>1</v>
      </c>
    </row>
    <row r="99" spans="2:11" x14ac:dyDescent="0.25">
      <c r="B99" s="33" t="s">
        <v>25</v>
      </c>
      <c r="C99">
        <f>VLOOKUP(K17,six_brand_data,K97+2)</f>
        <v>5</v>
      </c>
      <c r="D99">
        <f>LOOKUP(C99,weights)</f>
        <v>20</v>
      </c>
      <c r="E99" s="39">
        <f>+D99/D$104</f>
        <v>0.2</v>
      </c>
    </row>
    <row r="100" spans="2:11" x14ac:dyDescent="0.25">
      <c r="B100" s="32" t="s">
        <v>26</v>
      </c>
      <c r="C100">
        <f>VLOOKUP(K26,six_brand_data,K97+2)</f>
        <v>5</v>
      </c>
      <c r="D100">
        <f>LOOKUP(C100,weights)</f>
        <v>20</v>
      </c>
      <c r="E100" s="39">
        <f>+D100/D$104</f>
        <v>0.2</v>
      </c>
    </row>
    <row r="101" spans="2:11" x14ac:dyDescent="0.25">
      <c r="B101" s="33" t="s">
        <v>27</v>
      </c>
      <c r="C101">
        <f>VLOOKUP(K27,six_brand_data,K97+2)</f>
        <v>5</v>
      </c>
      <c r="D101">
        <f>LOOKUP(C101,weights)</f>
        <v>20</v>
      </c>
      <c r="E101" s="39">
        <f>+D101/D$104</f>
        <v>0.2</v>
      </c>
    </row>
    <row r="102" spans="2:11" x14ac:dyDescent="0.25">
      <c r="B102" s="32" t="s">
        <v>28</v>
      </c>
      <c r="C102">
        <f>VLOOKUP(L31,six_brand_data,K97+2)</f>
        <v>5</v>
      </c>
      <c r="D102">
        <f>LOOKUP(C102,weights)</f>
        <v>20</v>
      </c>
      <c r="E102" s="39">
        <f>+D102/D$104</f>
        <v>0.2</v>
      </c>
    </row>
    <row r="103" spans="2:11" x14ac:dyDescent="0.25">
      <c r="B103" s="33" t="s">
        <v>29</v>
      </c>
      <c r="C103">
        <f>VLOOKUP(K69,six_brand_data,K97+2)</f>
        <v>5</v>
      </c>
      <c r="D103">
        <f>LOOKUP(C103,weights)</f>
        <v>20</v>
      </c>
      <c r="E103" s="39">
        <f>+D103/D$104</f>
        <v>0.2</v>
      </c>
    </row>
    <row r="104" spans="2:11" x14ac:dyDescent="0.25">
      <c r="D104">
        <f>SUM(D99:D103)</f>
        <v>100</v>
      </c>
    </row>
    <row r="106" spans="2:11" x14ac:dyDescent="0.25">
      <c r="C106" s="1" t="s">
        <v>11</v>
      </c>
      <c r="D106" s="2">
        <f t="shared" ref="D106:J106" si="49">+$E$99*D48</f>
        <v>0</v>
      </c>
      <c r="E106" s="2">
        <f t="shared" si="49"/>
        <v>0</v>
      </c>
      <c r="F106" s="2">
        <f t="shared" si="49"/>
        <v>0</v>
      </c>
      <c r="G106" s="2">
        <f t="shared" si="49"/>
        <v>0</v>
      </c>
      <c r="H106" s="2">
        <f t="shared" si="49"/>
        <v>0</v>
      </c>
      <c r="I106" s="2">
        <f t="shared" si="49"/>
        <v>0.4</v>
      </c>
      <c r="J106" s="2">
        <f t="shared" si="49"/>
        <v>0</v>
      </c>
    </row>
    <row r="107" spans="2:11" x14ac:dyDescent="0.25">
      <c r="C107" s="1" t="s">
        <v>12</v>
      </c>
      <c r="D107" s="2">
        <f t="shared" ref="D107:J107" si="50">+$E$100*D49</f>
        <v>0</v>
      </c>
      <c r="E107" s="2">
        <f t="shared" si="50"/>
        <v>0</v>
      </c>
      <c r="F107" s="2">
        <f t="shared" si="50"/>
        <v>0</v>
      </c>
      <c r="G107" s="2">
        <f t="shared" si="50"/>
        <v>0</v>
      </c>
      <c r="H107" s="2">
        <f t="shared" si="50"/>
        <v>1</v>
      </c>
      <c r="I107" s="2">
        <f t="shared" si="50"/>
        <v>0</v>
      </c>
      <c r="J107" s="2">
        <f t="shared" si="50"/>
        <v>0</v>
      </c>
    </row>
    <row r="108" spans="2:11" x14ac:dyDescent="0.25">
      <c r="C108" s="1" t="s">
        <v>13</v>
      </c>
      <c r="D108" s="2">
        <f t="shared" ref="D108:J108" si="51">+$E$101*D50</f>
        <v>0</v>
      </c>
      <c r="E108" s="2">
        <f t="shared" si="51"/>
        <v>0</v>
      </c>
      <c r="F108" s="2">
        <f t="shared" si="51"/>
        <v>0</v>
      </c>
      <c r="G108" s="2">
        <f t="shared" si="51"/>
        <v>1.30002</v>
      </c>
      <c r="H108" s="2">
        <f t="shared" si="51"/>
        <v>0</v>
      </c>
      <c r="I108" s="2">
        <f t="shared" si="51"/>
        <v>0</v>
      </c>
      <c r="J108" s="2">
        <f t="shared" si="51"/>
        <v>0</v>
      </c>
    </row>
    <row r="109" spans="2:11" x14ac:dyDescent="0.25">
      <c r="C109" s="1" t="s">
        <v>18</v>
      </c>
      <c r="D109" s="2">
        <f t="shared" ref="D109:J109" si="52">+$E$102*D51</f>
        <v>0</v>
      </c>
      <c r="E109" s="2">
        <f t="shared" si="52"/>
        <v>0.89998000000000011</v>
      </c>
      <c r="F109" s="2">
        <f t="shared" si="52"/>
        <v>0</v>
      </c>
      <c r="G109" s="2">
        <f t="shared" si="52"/>
        <v>0</v>
      </c>
      <c r="H109" s="2">
        <f t="shared" si="52"/>
        <v>0</v>
      </c>
      <c r="I109" s="2">
        <f t="shared" si="52"/>
        <v>0</v>
      </c>
      <c r="J109" s="2">
        <f t="shared" si="52"/>
        <v>0</v>
      </c>
    </row>
    <row r="110" spans="2:11" x14ac:dyDescent="0.25">
      <c r="C110" s="1" t="s">
        <v>30</v>
      </c>
      <c r="D110" s="2">
        <f>+$E$103*D87</f>
        <v>0</v>
      </c>
      <c r="E110" s="2">
        <f t="shared" ref="E110:J110" si="53">+$E$103*E87</f>
        <v>0</v>
      </c>
      <c r="F110" s="2">
        <f t="shared" si="53"/>
        <v>0.9</v>
      </c>
      <c r="G110" s="2">
        <f t="shared" si="53"/>
        <v>0</v>
      </c>
      <c r="H110" s="2">
        <f t="shared" si="53"/>
        <v>0</v>
      </c>
      <c r="I110" s="2">
        <f t="shared" si="53"/>
        <v>0</v>
      </c>
      <c r="J110" s="2">
        <f t="shared" si="53"/>
        <v>0</v>
      </c>
      <c r="K110" s="38">
        <f>SUM(D106:J110)</f>
        <v>4.5</v>
      </c>
    </row>
    <row r="112" spans="2:11" x14ac:dyDescent="0.25">
      <c r="C112" s="1" t="s">
        <v>14</v>
      </c>
      <c r="D112" s="2">
        <f t="shared" ref="D112:J112" si="54">+$E$99*D54</f>
        <v>0</v>
      </c>
      <c r="E112" s="2">
        <f t="shared" si="54"/>
        <v>0</v>
      </c>
      <c r="F112" s="2">
        <f t="shared" si="54"/>
        <v>0</v>
      </c>
      <c r="G112" s="2">
        <f t="shared" si="54"/>
        <v>0</v>
      </c>
      <c r="H112" s="2">
        <f t="shared" si="54"/>
        <v>0</v>
      </c>
      <c r="I112" s="2">
        <f t="shared" si="54"/>
        <v>0.4</v>
      </c>
      <c r="J112" s="2">
        <f t="shared" si="54"/>
        <v>0</v>
      </c>
    </row>
    <row r="113" spans="2:14" x14ac:dyDescent="0.25">
      <c r="C113" s="1" t="s">
        <v>15</v>
      </c>
      <c r="D113" s="2">
        <f t="shared" ref="D113:J113" si="55">+$E$100*D55</f>
        <v>0</v>
      </c>
      <c r="E113" s="2">
        <f t="shared" si="55"/>
        <v>0</v>
      </c>
      <c r="F113" s="2">
        <f t="shared" si="55"/>
        <v>0</v>
      </c>
      <c r="G113" s="2">
        <f t="shared" si="55"/>
        <v>0</v>
      </c>
      <c r="H113" s="2">
        <f t="shared" si="55"/>
        <v>1</v>
      </c>
      <c r="I113" s="2">
        <f t="shared" si="55"/>
        <v>0</v>
      </c>
      <c r="J113" s="2">
        <f t="shared" si="55"/>
        <v>0</v>
      </c>
    </row>
    <row r="114" spans="2:14" x14ac:dyDescent="0.25">
      <c r="C114" s="1" t="s">
        <v>16</v>
      </c>
      <c r="D114" s="2">
        <f t="shared" ref="D114:J114" si="56">+$E$101*D56</f>
        <v>0</v>
      </c>
      <c r="E114" s="2">
        <f t="shared" si="56"/>
        <v>0</v>
      </c>
      <c r="F114" s="2">
        <f t="shared" si="56"/>
        <v>0</v>
      </c>
      <c r="G114" s="2">
        <f t="shared" si="56"/>
        <v>0.70002000000000009</v>
      </c>
      <c r="H114" s="2">
        <f t="shared" si="56"/>
        <v>0</v>
      </c>
      <c r="I114" s="2">
        <f t="shared" si="56"/>
        <v>0</v>
      </c>
      <c r="J114" s="2">
        <f t="shared" si="56"/>
        <v>0</v>
      </c>
    </row>
    <row r="115" spans="2:14" x14ac:dyDescent="0.25">
      <c r="C115" s="1" t="s">
        <v>23</v>
      </c>
      <c r="D115" s="2">
        <f t="shared" ref="D115:J115" si="57">+$E$102*D57</f>
        <v>0</v>
      </c>
      <c r="E115" s="2">
        <f t="shared" si="57"/>
        <v>1.4999800000000001</v>
      </c>
      <c r="F115" s="2">
        <f t="shared" si="57"/>
        <v>0</v>
      </c>
      <c r="G115" s="2">
        <f t="shared" si="57"/>
        <v>0</v>
      </c>
      <c r="H115" s="2">
        <f t="shared" si="57"/>
        <v>0</v>
      </c>
      <c r="I115" s="2">
        <f t="shared" si="57"/>
        <v>0</v>
      </c>
      <c r="J115" s="2">
        <f t="shared" si="57"/>
        <v>0</v>
      </c>
    </row>
    <row r="116" spans="2:14" x14ac:dyDescent="0.25">
      <c r="C116" s="1" t="s">
        <v>31</v>
      </c>
      <c r="D116" s="2">
        <f>+$E$103*D88</f>
        <v>0</v>
      </c>
      <c r="E116" s="2">
        <f t="shared" ref="E116:J116" si="58">+$E$103*E88</f>
        <v>0</v>
      </c>
      <c r="F116" s="2">
        <f t="shared" si="58"/>
        <v>0.9</v>
      </c>
      <c r="G116" s="2">
        <f t="shared" si="58"/>
        <v>0</v>
      </c>
      <c r="H116" s="2">
        <f t="shared" si="58"/>
        <v>0</v>
      </c>
      <c r="I116" s="2">
        <f t="shared" si="58"/>
        <v>0</v>
      </c>
      <c r="J116" s="2">
        <f t="shared" si="58"/>
        <v>0</v>
      </c>
      <c r="K116" s="38">
        <f>SUM(D112:J116)</f>
        <v>4.5</v>
      </c>
    </row>
    <row r="118" spans="2:14" x14ac:dyDescent="0.25">
      <c r="B118" s="27" t="s">
        <v>24</v>
      </c>
      <c r="C118" s="27" t="s">
        <v>4</v>
      </c>
      <c r="D118" s="131">
        <f t="shared" ref="D118:J118" si="59">IF($K97=D2,$K110,0)</f>
        <v>4.5</v>
      </c>
      <c r="E118" s="131">
        <f t="shared" si="59"/>
        <v>0</v>
      </c>
      <c r="F118" s="131">
        <f t="shared" si="59"/>
        <v>0</v>
      </c>
      <c r="G118" s="131">
        <f t="shared" si="59"/>
        <v>0</v>
      </c>
      <c r="H118" s="131">
        <f t="shared" si="59"/>
        <v>0</v>
      </c>
      <c r="I118" s="131">
        <f t="shared" si="59"/>
        <v>0</v>
      </c>
      <c r="J118" s="131">
        <f t="shared" si="59"/>
        <v>0</v>
      </c>
    </row>
    <row r="119" spans="2:14" x14ac:dyDescent="0.25">
      <c r="B119" s="4"/>
      <c r="C119" s="27" t="s">
        <v>5</v>
      </c>
      <c r="D119" s="131">
        <f t="shared" ref="D119:J119" si="60">IF($K97=D2,$K116,0)</f>
        <v>4.5</v>
      </c>
      <c r="E119" s="131">
        <f t="shared" si="60"/>
        <v>0</v>
      </c>
      <c r="F119" s="131">
        <f t="shared" si="60"/>
        <v>0</v>
      </c>
      <c r="G119" s="131">
        <f t="shared" si="60"/>
        <v>0</v>
      </c>
      <c r="H119" s="131">
        <f t="shared" si="60"/>
        <v>0</v>
      </c>
      <c r="I119" s="131">
        <f t="shared" si="60"/>
        <v>0</v>
      </c>
      <c r="J119" s="131">
        <f t="shared" si="60"/>
        <v>0</v>
      </c>
    </row>
    <row r="120" spans="2:14" x14ac:dyDescent="0.25">
      <c r="B120" s="4"/>
      <c r="C120" s="4"/>
      <c r="D120" s="4"/>
      <c r="E120" s="4"/>
      <c r="F120" s="4"/>
      <c r="G120" s="4"/>
      <c r="H120" s="4"/>
      <c r="I120" s="4"/>
      <c r="J120" s="4"/>
    </row>
    <row r="122" spans="2:14" x14ac:dyDescent="0.25">
      <c r="D122" s="37">
        <f>+D118+D91</f>
        <v>4.5</v>
      </c>
      <c r="E122" s="37">
        <f t="shared" ref="E122:I122" si="61">+E118+E91</f>
        <v>4.4999000000000002</v>
      </c>
      <c r="F122" s="37">
        <f t="shared" si="61"/>
        <v>4.5</v>
      </c>
      <c r="G122" s="37">
        <f t="shared" si="61"/>
        <v>6.5000999999999998</v>
      </c>
      <c r="H122" s="37">
        <f t="shared" si="61"/>
        <v>5</v>
      </c>
      <c r="I122" s="37">
        <f t="shared" si="61"/>
        <v>2</v>
      </c>
      <c r="J122" s="37"/>
      <c r="M122" s="37">
        <f>+D122</f>
        <v>4.5</v>
      </c>
      <c r="N122" s="37">
        <f>+D123</f>
        <v>4.5</v>
      </c>
    </row>
    <row r="123" spans="2:14" x14ac:dyDescent="0.25">
      <c r="D123" s="37">
        <f>+D119+D92</f>
        <v>4.5</v>
      </c>
      <c r="E123" s="37">
        <f t="shared" ref="E123:I123" si="62">+E119+E92</f>
        <v>7.4999000000000002</v>
      </c>
      <c r="F123" s="37">
        <f t="shared" si="62"/>
        <v>4.5</v>
      </c>
      <c r="G123" s="37">
        <f t="shared" si="62"/>
        <v>3.5001000000000002</v>
      </c>
      <c r="H123" s="37">
        <f t="shared" si="62"/>
        <v>5</v>
      </c>
      <c r="I123" s="37">
        <f t="shared" si="62"/>
        <v>2</v>
      </c>
      <c r="J123" s="37"/>
      <c r="M123" s="37">
        <f>+E122</f>
        <v>4.4999000000000002</v>
      </c>
      <c r="N123" s="37">
        <f>+E123</f>
        <v>7.4999000000000002</v>
      </c>
    </row>
    <row r="124" spans="2:14" x14ac:dyDescent="0.25">
      <c r="M124" s="37">
        <f>+F122</f>
        <v>4.5</v>
      </c>
      <c r="N124" s="37">
        <f>+F123</f>
        <v>4.5</v>
      </c>
    </row>
    <row r="125" spans="2:14" x14ac:dyDescent="0.25">
      <c r="M125" s="37">
        <f>+G122</f>
        <v>6.5000999999999998</v>
      </c>
      <c r="N125" s="37">
        <f>+G123</f>
        <v>3.5001000000000002</v>
      </c>
    </row>
    <row r="126" spans="2:14" x14ac:dyDescent="0.25">
      <c r="M126" s="37">
        <f>+H122</f>
        <v>5</v>
      </c>
      <c r="N126" s="37">
        <f>+H123</f>
        <v>5</v>
      </c>
    </row>
    <row r="127" spans="2:14" x14ac:dyDescent="0.25">
      <c r="M127" s="37">
        <f>+I122</f>
        <v>2</v>
      </c>
      <c r="N127" s="37">
        <f>+I123</f>
        <v>2</v>
      </c>
    </row>
    <row r="130" spans="2:11" x14ac:dyDescent="0.25">
      <c r="C130" t="s">
        <v>32</v>
      </c>
      <c r="K130" s="124">
        <f>+L61</f>
        <v>0</v>
      </c>
    </row>
    <row r="132" spans="2:11" x14ac:dyDescent="0.25">
      <c r="B132" s="32" t="s">
        <v>33</v>
      </c>
      <c r="C132" t="str">
        <f>VLOOKUP(K17,brand_data,K130+2)</f>
        <v>Coke Zero</v>
      </c>
      <c r="D132" t="e">
        <f t="shared" ref="D132:D137" si="63">LOOKUP(C132,weights)</f>
        <v>#N/A</v>
      </c>
      <c r="E132" s="39" t="e">
        <f t="shared" ref="E132:E137" si="64">+D132/D$138</f>
        <v>#N/A</v>
      </c>
    </row>
    <row r="133" spans="2:11" x14ac:dyDescent="0.25">
      <c r="B133" s="32" t="s">
        <v>34</v>
      </c>
      <c r="C133" t="str">
        <f>VLOOKUP(K26,brand_data,K130+2)</f>
        <v>Fanta</v>
      </c>
      <c r="D133" t="e">
        <f t="shared" si="63"/>
        <v>#N/A</v>
      </c>
      <c r="E133" s="39" t="e">
        <f t="shared" si="64"/>
        <v>#N/A</v>
      </c>
    </row>
    <row r="134" spans="2:11" x14ac:dyDescent="0.25">
      <c r="B134" s="32" t="s">
        <v>35</v>
      </c>
      <c r="C134" t="str">
        <f>VLOOKUP(K27,brand_data,K130+2)</f>
        <v>7 Up</v>
      </c>
      <c r="D134" t="e">
        <f t="shared" si="63"/>
        <v>#N/A</v>
      </c>
      <c r="E134" s="39" t="e">
        <f t="shared" si="64"/>
        <v>#N/A</v>
      </c>
    </row>
    <row r="135" spans="2:11" x14ac:dyDescent="0.25">
      <c r="B135" s="32" t="s">
        <v>36</v>
      </c>
      <c r="C135" t="str">
        <f>VLOOKUP(K28,brand_data,K130+2)</f>
        <v>Mt Dew</v>
      </c>
      <c r="D135" t="e">
        <f t="shared" si="63"/>
        <v>#N/A</v>
      </c>
      <c r="E135" s="39" t="e">
        <f t="shared" si="64"/>
        <v>#N/A</v>
      </c>
    </row>
    <row r="136" spans="2:11" x14ac:dyDescent="0.25">
      <c r="B136" s="32" t="s">
        <v>37</v>
      </c>
      <c r="C136" t="str">
        <f>VLOOKUP(K69,brand_data,K130+2)</f>
        <v>Mt Dew</v>
      </c>
      <c r="D136" t="e">
        <f t="shared" si="63"/>
        <v>#N/A</v>
      </c>
      <c r="E136" s="39" t="e">
        <f t="shared" si="64"/>
        <v>#N/A</v>
      </c>
    </row>
    <row r="137" spans="2:11" x14ac:dyDescent="0.25">
      <c r="B137" s="32" t="s">
        <v>38</v>
      </c>
      <c r="C137" t="str">
        <f>VLOOKUP(K97,brand_data,K130+2)</f>
        <v>Coke</v>
      </c>
      <c r="D137" t="e">
        <f t="shared" si="63"/>
        <v>#N/A</v>
      </c>
      <c r="E137" s="39" t="e">
        <f t="shared" si="64"/>
        <v>#N/A</v>
      </c>
    </row>
    <row r="138" spans="2:11" x14ac:dyDescent="0.25">
      <c r="D138" t="e">
        <f>SUM(D132:D137)</f>
        <v>#N/A</v>
      </c>
    </row>
    <row r="140" spans="2:11" x14ac:dyDescent="0.25">
      <c r="C140" s="1" t="s">
        <v>11</v>
      </c>
      <c r="D140" s="2" t="e">
        <f t="shared" ref="D140:J140" si="65">+$E$132*D48</f>
        <v>#N/A</v>
      </c>
      <c r="E140" s="2" t="e">
        <f t="shared" si="65"/>
        <v>#N/A</v>
      </c>
      <c r="F140" s="2" t="e">
        <f t="shared" si="65"/>
        <v>#N/A</v>
      </c>
      <c r="G140" s="2" t="e">
        <f t="shared" si="65"/>
        <v>#N/A</v>
      </c>
      <c r="H140" s="2" t="e">
        <f t="shared" si="65"/>
        <v>#N/A</v>
      </c>
      <c r="I140" s="2" t="e">
        <f t="shared" si="65"/>
        <v>#N/A</v>
      </c>
      <c r="J140" s="2" t="e">
        <f t="shared" si="65"/>
        <v>#N/A</v>
      </c>
    </row>
    <row r="141" spans="2:11" x14ac:dyDescent="0.25">
      <c r="C141" s="1" t="s">
        <v>12</v>
      </c>
      <c r="D141" s="2" t="e">
        <f t="shared" ref="D141:J141" si="66">+$E$133*D49</f>
        <v>#N/A</v>
      </c>
      <c r="E141" s="2" t="e">
        <f t="shared" si="66"/>
        <v>#N/A</v>
      </c>
      <c r="F141" s="2" t="e">
        <f t="shared" si="66"/>
        <v>#N/A</v>
      </c>
      <c r="G141" s="2" t="e">
        <f t="shared" si="66"/>
        <v>#N/A</v>
      </c>
      <c r="H141" s="2" t="e">
        <f t="shared" si="66"/>
        <v>#N/A</v>
      </c>
      <c r="I141" s="2" t="e">
        <f t="shared" si="66"/>
        <v>#N/A</v>
      </c>
      <c r="J141" s="2" t="e">
        <f t="shared" si="66"/>
        <v>#N/A</v>
      </c>
    </row>
    <row r="142" spans="2:11" x14ac:dyDescent="0.25">
      <c r="C142" s="1" t="s">
        <v>13</v>
      </c>
      <c r="D142" s="2" t="e">
        <f t="shared" ref="D142:J142" si="67">+$E$134*D50</f>
        <v>#N/A</v>
      </c>
      <c r="E142" s="2" t="e">
        <f t="shared" si="67"/>
        <v>#N/A</v>
      </c>
      <c r="F142" s="2" t="e">
        <f t="shared" si="67"/>
        <v>#N/A</v>
      </c>
      <c r="G142" s="2" t="e">
        <f t="shared" si="67"/>
        <v>#N/A</v>
      </c>
      <c r="H142" s="2" t="e">
        <f t="shared" si="67"/>
        <v>#N/A</v>
      </c>
      <c r="I142" s="2" t="e">
        <f t="shared" si="67"/>
        <v>#N/A</v>
      </c>
      <c r="J142" s="2" t="e">
        <f t="shared" si="67"/>
        <v>#N/A</v>
      </c>
    </row>
    <row r="143" spans="2:11" x14ac:dyDescent="0.25">
      <c r="C143" s="1" t="s">
        <v>18</v>
      </c>
      <c r="D143" s="2" t="e">
        <f t="shared" ref="D143:J143" si="68">+$E$135*D51</f>
        <v>#N/A</v>
      </c>
      <c r="E143" s="2" t="e">
        <f t="shared" si="68"/>
        <v>#N/A</v>
      </c>
      <c r="F143" s="2" t="e">
        <f t="shared" si="68"/>
        <v>#N/A</v>
      </c>
      <c r="G143" s="2" t="e">
        <f t="shared" si="68"/>
        <v>#N/A</v>
      </c>
      <c r="H143" s="2" t="e">
        <f t="shared" si="68"/>
        <v>#N/A</v>
      </c>
      <c r="I143" s="2" t="e">
        <f t="shared" si="68"/>
        <v>#N/A</v>
      </c>
      <c r="J143" s="2" t="e">
        <f t="shared" si="68"/>
        <v>#N/A</v>
      </c>
    </row>
    <row r="144" spans="2:11" x14ac:dyDescent="0.25">
      <c r="C144" s="1" t="s">
        <v>30</v>
      </c>
      <c r="D144" s="37" t="e">
        <f>+$E$136*D87</f>
        <v>#N/A</v>
      </c>
      <c r="E144" s="37" t="e">
        <f t="shared" ref="E144:J144" si="69">+$E$136*E87</f>
        <v>#N/A</v>
      </c>
      <c r="F144" s="37" t="e">
        <f t="shared" si="69"/>
        <v>#N/A</v>
      </c>
      <c r="G144" s="37" t="e">
        <f t="shared" si="69"/>
        <v>#N/A</v>
      </c>
      <c r="H144" s="37" t="e">
        <f t="shared" si="69"/>
        <v>#N/A</v>
      </c>
      <c r="I144" s="37" t="e">
        <f t="shared" si="69"/>
        <v>#N/A</v>
      </c>
      <c r="J144" s="37" t="e">
        <f t="shared" si="69"/>
        <v>#N/A</v>
      </c>
    </row>
    <row r="145" spans="2:11" x14ac:dyDescent="0.25">
      <c r="C145" s="1" t="s">
        <v>39</v>
      </c>
      <c r="D145" s="37" t="e">
        <f>+$E$137*D118</f>
        <v>#N/A</v>
      </c>
      <c r="E145" s="37" t="e">
        <f t="shared" ref="E145:J145" si="70">+$E$137*E118</f>
        <v>#N/A</v>
      </c>
      <c r="F145" s="37" t="e">
        <f t="shared" si="70"/>
        <v>#N/A</v>
      </c>
      <c r="G145" s="37" t="e">
        <f t="shared" si="70"/>
        <v>#N/A</v>
      </c>
      <c r="H145" s="37" t="e">
        <f t="shared" si="70"/>
        <v>#N/A</v>
      </c>
      <c r="I145" s="37" t="e">
        <f t="shared" si="70"/>
        <v>#N/A</v>
      </c>
      <c r="J145" s="37" t="e">
        <f t="shared" si="70"/>
        <v>#N/A</v>
      </c>
      <c r="K145" s="38" t="e">
        <f>SUM(D140:J145)</f>
        <v>#N/A</v>
      </c>
    </row>
    <row r="147" spans="2:11" x14ac:dyDescent="0.25">
      <c r="C147" s="1" t="s">
        <v>14</v>
      </c>
      <c r="D147" s="2" t="e">
        <f t="shared" ref="D147:J147" si="71">+$E$132*D54</f>
        <v>#N/A</v>
      </c>
      <c r="E147" s="2" t="e">
        <f t="shared" si="71"/>
        <v>#N/A</v>
      </c>
      <c r="F147" s="2" t="e">
        <f t="shared" si="71"/>
        <v>#N/A</v>
      </c>
      <c r="G147" s="2" t="e">
        <f t="shared" si="71"/>
        <v>#N/A</v>
      </c>
      <c r="H147" s="2" t="e">
        <f t="shared" si="71"/>
        <v>#N/A</v>
      </c>
      <c r="I147" s="2" t="e">
        <f t="shared" si="71"/>
        <v>#N/A</v>
      </c>
      <c r="J147" s="2" t="e">
        <f t="shared" si="71"/>
        <v>#N/A</v>
      </c>
    </row>
    <row r="148" spans="2:11" x14ac:dyDescent="0.25">
      <c r="C148" s="1" t="s">
        <v>15</v>
      </c>
      <c r="D148" s="2" t="e">
        <f t="shared" ref="D148:J148" si="72">+$E$133*D55</f>
        <v>#N/A</v>
      </c>
      <c r="E148" s="2" t="e">
        <f t="shared" si="72"/>
        <v>#N/A</v>
      </c>
      <c r="F148" s="2" t="e">
        <f t="shared" si="72"/>
        <v>#N/A</v>
      </c>
      <c r="G148" s="2" t="e">
        <f t="shared" si="72"/>
        <v>#N/A</v>
      </c>
      <c r="H148" s="2" t="e">
        <f t="shared" si="72"/>
        <v>#N/A</v>
      </c>
      <c r="I148" s="2" t="e">
        <f t="shared" si="72"/>
        <v>#N/A</v>
      </c>
      <c r="J148" s="2" t="e">
        <f t="shared" si="72"/>
        <v>#N/A</v>
      </c>
    </row>
    <row r="149" spans="2:11" x14ac:dyDescent="0.25">
      <c r="C149" s="1" t="s">
        <v>16</v>
      </c>
      <c r="D149" s="2" t="e">
        <f t="shared" ref="D149:J149" si="73">+$E$134*D56</f>
        <v>#N/A</v>
      </c>
      <c r="E149" s="2" t="e">
        <f t="shared" si="73"/>
        <v>#N/A</v>
      </c>
      <c r="F149" s="2" t="e">
        <f t="shared" si="73"/>
        <v>#N/A</v>
      </c>
      <c r="G149" s="2" t="e">
        <f t="shared" si="73"/>
        <v>#N/A</v>
      </c>
      <c r="H149" s="2" t="e">
        <f t="shared" si="73"/>
        <v>#N/A</v>
      </c>
      <c r="I149" s="2" t="e">
        <f t="shared" si="73"/>
        <v>#N/A</v>
      </c>
      <c r="J149" s="2" t="e">
        <f t="shared" si="73"/>
        <v>#N/A</v>
      </c>
    </row>
    <row r="150" spans="2:11" x14ac:dyDescent="0.25">
      <c r="C150" s="1" t="s">
        <v>23</v>
      </c>
      <c r="D150" s="2" t="e">
        <f t="shared" ref="D150:J150" si="74">+$E$135*D57</f>
        <v>#N/A</v>
      </c>
      <c r="E150" s="2" t="e">
        <f t="shared" si="74"/>
        <v>#N/A</v>
      </c>
      <c r="F150" s="2" t="e">
        <f t="shared" si="74"/>
        <v>#N/A</v>
      </c>
      <c r="G150" s="2" t="e">
        <f t="shared" si="74"/>
        <v>#N/A</v>
      </c>
      <c r="H150" s="2" t="e">
        <f t="shared" si="74"/>
        <v>#N/A</v>
      </c>
      <c r="I150" s="2" t="e">
        <f t="shared" si="74"/>
        <v>#N/A</v>
      </c>
      <c r="J150" s="2" t="e">
        <f t="shared" si="74"/>
        <v>#N/A</v>
      </c>
    </row>
    <row r="151" spans="2:11" x14ac:dyDescent="0.25">
      <c r="C151" s="1" t="s">
        <v>31</v>
      </c>
      <c r="D151" s="37" t="e">
        <f>+$E$136*D88</f>
        <v>#N/A</v>
      </c>
      <c r="E151" s="37" t="e">
        <f t="shared" ref="E151:J151" si="75">+$E$136*E88</f>
        <v>#N/A</v>
      </c>
      <c r="F151" s="37" t="e">
        <f t="shared" si="75"/>
        <v>#N/A</v>
      </c>
      <c r="G151" s="37" t="e">
        <f t="shared" si="75"/>
        <v>#N/A</v>
      </c>
      <c r="H151" s="37" t="e">
        <f t="shared" si="75"/>
        <v>#N/A</v>
      </c>
      <c r="I151" s="37" t="e">
        <f t="shared" si="75"/>
        <v>#N/A</v>
      </c>
      <c r="J151" s="37" t="e">
        <f t="shared" si="75"/>
        <v>#N/A</v>
      </c>
    </row>
    <row r="152" spans="2:11" x14ac:dyDescent="0.25">
      <c r="C152" s="1" t="s">
        <v>40</v>
      </c>
      <c r="D152" s="37" t="e">
        <f>+$E$137*D118</f>
        <v>#N/A</v>
      </c>
      <c r="E152" s="37" t="e">
        <f t="shared" ref="E152:J152" si="76">+$E$137*E118</f>
        <v>#N/A</v>
      </c>
      <c r="F152" s="37" t="e">
        <f t="shared" si="76"/>
        <v>#N/A</v>
      </c>
      <c r="G152" s="37" t="e">
        <f t="shared" si="76"/>
        <v>#N/A</v>
      </c>
      <c r="H152" s="37" t="e">
        <f t="shared" si="76"/>
        <v>#N/A</v>
      </c>
      <c r="I152" s="37" t="e">
        <f t="shared" si="76"/>
        <v>#N/A</v>
      </c>
      <c r="J152" s="37" t="e">
        <f t="shared" si="76"/>
        <v>#N/A</v>
      </c>
      <c r="K152" s="38" t="e">
        <f>SUM(D147:J152)</f>
        <v>#N/A</v>
      </c>
    </row>
    <row r="155" spans="2:11" x14ac:dyDescent="0.25">
      <c r="B155" s="27" t="s">
        <v>32</v>
      </c>
      <c r="C155" s="27" t="s">
        <v>4</v>
      </c>
      <c r="D155" s="131">
        <f t="shared" ref="D155:K155" si="77">IF(D2=$K130,$K145,0)</f>
        <v>0</v>
      </c>
      <c r="E155" s="131">
        <f t="shared" si="77"/>
        <v>0</v>
      </c>
      <c r="F155" s="131">
        <f t="shared" si="77"/>
        <v>0</v>
      </c>
      <c r="G155" s="131">
        <f t="shared" si="77"/>
        <v>0</v>
      </c>
      <c r="H155" s="131">
        <f t="shared" si="77"/>
        <v>0</v>
      </c>
      <c r="I155" s="131">
        <f t="shared" si="77"/>
        <v>0</v>
      </c>
      <c r="J155" s="131">
        <f t="shared" si="77"/>
        <v>0</v>
      </c>
      <c r="K155" s="131" t="e">
        <f t="shared" si="77"/>
        <v>#N/A</v>
      </c>
    </row>
    <row r="156" spans="2:11" x14ac:dyDescent="0.25">
      <c r="B156" s="4"/>
      <c r="C156" s="27" t="s">
        <v>5</v>
      </c>
      <c r="D156" s="131">
        <f t="shared" ref="D156:K156" si="78">IF(D2=$K130,$K152,0)</f>
        <v>0</v>
      </c>
      <c r="E156" s="131">
        <f t="shared" si="78"/>
        <v>0</v>
      </c>
      <c r="F156" s="131">
        <f t="shared" si="78"/>
        <v>0</v>
      </c>
      <c r="G156" s="131">
        <f t="shared" si="78"/>
        <v>0</v>
      </c>
      <c r="H156" s="131">
        <f t="shared" si="78"/>
        <v>0</v>
      </c>
      <c r="I156" s="131">
        <f t="shared" si="78"/>
        <v>0</v>
      </c>
      <c r="J156" s="131">
        <f t="shared" si="78"/>
        <v>0</v>
      </c>
      <c r="K156" s="131" t="e">
        <f t="shared" si="78"/>
        <v>#N/A</v>
      </c>
    </row>
    <row r="157" spans="2:11" ht="15.75" thickBot="1" x14ac:dyDescent="0.3"/>
    <row r="158" spans="2:11" x14ac:dyDescent="0.25">
      <c r="B158" s="136"/>
      <c r="C158" s="134"/>
      <c r="D158" s="134">
        <v>1</v>
      </c>
      <c r="E158" s="134">
        <v>2</v>
      </c>
      <c r="F158" s="134">
        <v>3</v>
      </c>
      <c r="G158" s="134">
        <v>4</v>
      </c>
      <c r="H158" s="134">
        <v>5</v>
      </c>
      <c r="I158" s="134">
        <v>6</v>
      </c>
      <c r="J158" s="135">
        <v>7</v>
      </c>
      <c r="K158" s="135"/>
    </row>
    <row r="159" spans="2:11" x14ac:dyDescent="0.25">
      <c r="B159" s="137" t="s">
        <v>107</v>
      </c>
      <c r="C159" s="138" t="s">
        <v>4</v>
      </c>
      <c r="D159" s="139">
        <f t="shared" ref="D159:J160" si="79">+D155+D118+D91</f>
        <v>4.5</v>
      </c>
      <c r="E159" s="139">
        <f t="shared" si="79"/>
        <v>4.4999000000000002</v>
      </c>
      <c r="F159" s="139">
        <f t="shared" si="79"/>
        <v>4.5</v>
      </c>
      <c r="G159" s="139">
        <f t="shared" si="79"/>
        <v>6.5000999999999998</v>
      </c>
      <c r="H159" s="139">
        <f t="shared" si="79"/>
        <v>5</v>
      </c>
      <c r="I159" s="139">
        <f t="shared" si="79"/>
        <v>2</v>
      </c>
      <c r="J159" s="139">
        <f t="shared" si="79"/>
        <v>0</v>
      </c>
      <c r="K159" s="140"/>
    </row>
    <row r="160" spans="2:11" ht="15.75" thickBot="1" x14ac:dyDescent="0.3">
      <c r="B160" s="141"/>
      <c r="C160" s="142" t="s">
        <v>5</v>
      </c>
      <c r="D160" s="143">
        <f t="shared" si="79"/>
        <v>4.5</v>
      </c>
      <c r="E160" s="143">
        <f t="shared" si="79"/>
        <v>7.4999000000000002</v>
      </c>
      <c r="F160" s="143">
        <f t="shared" si="79"/>
        <v>4.5</v>
      </c>
      <c r="G160" s="143">
        <f t="shared" si="79"/>
        <v>3.5001000000000002</v>
      </c>
      <c r="H160" s="143">
        <f t="shared" si="79"/>
        <v>5</v>
      </c>
      <c r="I160" s="143">
        <f t="shared" si="79"/>
        <v>2</v>
      </c>
      <c r="J160" s="143">
        <f t="shared" si="79"/>
        <v>0</v>
      </c>
      <c r="K160" s="144"/>
    </row>
    <row r="163" spans="4:6" x14ac:dyDescent="0.25">
      <c r="D163">
        <v>1</v>
      </c>
      <c r="E163" s="37">
        <f>+D159</f>
        <v>4.5</v>
      </c>
      <c r="F163" s="37">
        <f>+D160</f>
        <v>4.5</v>
      </c>
    </row>
    <row r="164" spans="4:6" x14ac:dyDescent="0.25">
      <c r="D164">
        <v>2</v>
      </c>
      <c r="E164" s="37">
        <f>+E159</f>
        <v>4.4999000000000002</v>
      </c>
      <c r="F164" s="37">
        <f>+E160</f>
        <v>7.4999000000000002</v>
      </c>
    </row>
    <row r="165" spans="4:6" x14ac:dyDescent="0.25">
      <c r="D165">
        <v>3</v>
      </c>
      <c r="E165" s="37">
        <f>+F159</f>
        <v>4.5</v>
      </c>
      <c r="F165" s="37">
        <f>+F160</f>
        <v>4.5</v>
      </c>
    </row>
    <row r="166" spans="4:6" x14ac:dyDescent="0.25">
      <c r="D166">
        <v>4</v>
      </c>
      <c r="E166" s="37">
        <f>+G159</f>
        <v>6.5000999999999998</v>
      </c>
      <c r="F166" s="37">
        <f>+G160</f>
        <v>3.5001000000000002</v>
      </c>
    </row>
    <row r="167" spans="4:6" x14ac:dyDescent="0.25">
      <c r="D167">
        <v>5</v>
      </c>
      <c r="E167" s="37">
        <f>+H159</f>
        <v>5</v>
      </c>
      <c r="F167" s="37">
        <f>+H160</f>
        <v>5</v>
      </c>
    </row>
    <row r="168" spans="4:6" x14ac:dyDescent="0.25">
      <c r="D168">
        <v>6</v>
      </c>
      <c r="E168" s="37">
        <f>+I159</f>
        <v>2</v>
      </c>
      <c r="F168" s="37">
        <f>+I160</f>
        <v>2</v>
      </c>
    </row>
    <row r="169" spans="4:6" x14ac:dyDescent="0.25">
      <c r="D169">
        <v>7</v>
      </c>
      <c r="E169" s="37">
        <f>+J159</f>
        <v>0</v>
      </c>
      <c r="F169" s="37">
        <f>+J160</f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V45"/>
  <sheetViews>
    <sheetView zoomScale="106" zoomScaleNormal="106" workbookViewId="0"/>
  </sheetViews>
  <sheetFormatPr defaultRowHeight="15" x14ac:dyDescent="0.25"/>
  <cols>
    <col min="2" max="2" width="5" customWidth="1"/>
    <col min="3" max="3" width="14.7109375" bestFit="1" customWidth="1"/>
    <col min="4" max="4" width="43.85546875" customWidth="1"/>
    <col min="5" max="5" width="14.140625" customWidth="1"/>
    <col min="6" max="6" width="14" customWidth="1"/>
    <col min="7" max="7" width="17.7109375" customWidth="1"/>
  </cols>
  <sheetData>
    <row r="1" spans="3:22" ht="15.75" thickBot="1" x14ac:dyDescent="0.3"/>
    <row r="2" spans="3:22" ht="24" thickBot="1" x14ac:dyDescent="0.4">
      <c r="C2" s="259" t="s">
        <v>145</v>
      </c>
      <c r="D2" s="260"/>
      <c r="E2" s="260"/>
      <c r="F2" s="260"/>
      <c r="G2" s="260"/>
      <c r="H2" s="261"/>
    </row>
    <row r="3" spans="3:22" ht="15.75" thickBot="1" x14ac:dyDescent="0.3"/>
    <row r="4" spans="3:22" ht="19.5" thickBot="1" x14ac:dyDescent="0.35">
      <c r="C4" s="217" t="s">
        <v>126</v>
      </c>
      <c r="D4" s="217" t="s">
        <v>156</v>
      </c>
      <c r="Q4" s="220"/>
      <c r="R4" s="221" t="s">
        <v>167</v>
      </c>
      <c r="S4" s="222"/>
      <c r="T4" s="222"/>
      <c r="U4" s="223"/>
    </row>
    <row r="5" spans="3:22" x14ac:dyDescent="0.25">
      <c r="C5" s="204"/>
      <c r="D5" s="178" t="s">
        <v>128</v>
      </c>
      <c r="Q5" s="224"/>
      <c r="R5" s="225"/>
      <c r="S5" s="225"/>
      <c r="T5" s="225"/>
      <c r="U5" s="226"/>
    </row>
    <row r="6" spans="3:22" x14ac:dyDescent="0.25">
      <c r="C6" s="329">
        <v>1</v>
      </c>
      <c r="D6" s="181" t="s">
        <v>108</v>
      </c>
      <c r="G6" s="179" t="s">
        <v>49</v>
      </c>
      <c r="Q6" s="224">
        <v>1</v>
      </c>
      <c r="R6" s="225" t="s">
        <v>168</v>
      </c>
      <c r="S6" s="225"/>
      <c r="T6" s="225"/>
      <c r="U6" s="226"/>
    </row>
    <row r="7" spans="3:22" x14ac:dyDescent="0.25">
      <c r="C7" s="329">
        <v>2</v>
      </c>
      <c r="D7" s="181" t="s">
        <v>109</v>
      </c>
      <c r="G7" s="179" t="s">
        <v>158</v>
      </c>
      <c r="Q7" s="224">
        <v>2</v>
      </c>
      <c r="R7" s="225" t="s">
        <v>169</v>
      </c>
      <c r="S7" s="225"/>
      <c r="T7" s="225"/>
      <c r="U7" s="226"/>
    </row>
    <row r="8" spans="3:22" x14ac:dyDescent="0.25">
      <c r="C8" s="329">
        <v>3</v>
      </c>
      <c r="D8" s="181" t="s">
        <v>143</v>
      </c>
      <c r="Q8" s="224">
        <v>3</v>
      </c>
      <c r="R8" s="225" t="s">
        <v>170</v>
      </c>
      <c r="S8" s="225"/>
      <c r="T8" s="225"/>
      <c r="U8" s="226"/>
    </row>
    <row r="9" spans="3:22" ht="15.75" thickBot="1" x14ac:dyDescent="0.3">
      <c r="C9" s="329">
        <v>4</v>
      </c>
      <c r="D9" s="181" t="s">
        <v>144</v>
      </c>
      <c r="Q9" s="227"/>
      <c r="R9" s="228"/>
      <c r="S9" s="228"/>
      <c r="T9" s="228"/>
      <c r="U9" s="229"/>
    </row>
    <row r="10" spans="3:22" x14ac:dyDescent="0.25">
      <c r="C10" s="329">
        <v>5</v>
      </c>
      <c r="D10" s="181" t="s">
        <v>110</v>
      </c>
      <c r="R10" s="15"/>
      <c r="S10" s="15"/>
      <c r="T10" s="15"/>
    </row>
    <row r="11" spans="3:22" ht="15.75" thickBot="1" x14ac:dyDescent="0.3">
      <c r="C11" s="329">
        <v>6</v>
      </c>
      <c r="D11" s="181" t="s">
        <v>157</v>
      </c>
      <c r="R11" s="15"/>
      <c r="S11" s="15"/>
      <c r="T11" s="15"/>
    </row>
    <row r="12" spans="3:22" ht="15.75" thickBot="1" x14ac:dyDescent="0.3">
      <c r="C12" s="330">
        <v>7</v>
      </c>
      <c r="D12" s="182" t="s">
        <v>160</v>
      </c>
      <c r="R12" s="204"/>
      <c r="S12" s="159"/>
      <c r="T12" s="160"/>
    </row>
    <row r="13" spans="3:22" ht="19.5" thickBot="1" x14ac:dyDescent="0.35">
      <c r="C13" s="217" t="s">
        <v>129</v>
      </c>
      <c r="D13" s="331" t="s">
        <v>132</v>
      </c>
      <c r="E13" s="262" t="s">
        <v>141</v>
      </c>
      <c r="F13" s="263"/>
      <c r="G13" s="189" t="s">
        <v>142</v>
      </c>
      <c r="R13" s="161"/>
      <c r="S13" s="194" t="s">
        <v>154</v>
      </c>
      <c r="T13" s="163"/>
    </row>
    <row r="14" spans="3:22" ht="15.75" thickBot="1" x14ac:dyDescent="0.3">
      <c r="C14" s="204"/>
      <c r="D14" s="206" t="s">
        <v>131</v>
      </c>
      <c r="E14" s="191" t="str">
        <f>+D6</f>
        <v>Coke</v>
      </c>
      <c r="F14" s="188" t="str">
        <f t="shared" ref="F14:F19" si="0">+D7</f>
        <v>Pepsi</v>
      </c>
      <c r="G14" s="190">
        <v>5</v>
      </c>
      <c r="R14" s="164"/>
      <c r="S14" s="165"/>
      <c r="T14" s="166"/>
    </row>
    <row r="15" spans="3:22" ht="15.75" thickBot="1" x14ac:dyDescent="0.3">
      <c r="C15" s="161"/>
      <c r="D15" s="162"/>
      <c r="E15" s="191" t="str">
        <f>+E14</f>
        <v>Coke</v>
      </c>
      <c r="F15" s="188" t="str">
        <f t="shared" si="0"/>
        <v>Mt Dew</v>
      </c>
      <c r="G15" s="190">
        <v>5</v>
      </c>
      <c r="P15" s="264" t="s">
        <v>171</v>
      </c>
      <c r="Q15" s="265"/>
      <c r="R15" s="265"/>
      <c r="S15" s="265"/>
      <c r="T15" s="265"/>
      <c r="U15" s="265"/>
      <c r="V15" s="266"/>
    </row>
    <row r="16" spans="3:22" ht="15.75" thickBot="1" x14ac:dyDescent="0.3">
      <c r="C16" s="161"/>
      <c r="D16" s="183" t="s">
        <v>130</v>
      </c>
      <c r="E16" s="191" t="str">
        <f t="shared" ref="E16:E19" si="1">+E15</f>
        <v>Coke</v>
      </c>
      <c r="F16" s="188" t="str">
        <f t="shared" si="0"/>
        <v>7 Up</v>
      </c>
      <c r="G16" s="190">
        <v>5</v>
      </c>
    </row>
    <row r="17" spans="3:20" x14ac:dyDescent="0.25">
      <c r="C17" s="161"/>
      <c r="D17" s="183" t="s">
        <v>133</v>
      </c>
      <c r="E17" s="191" t="str">
        <f t="shared" si="1"/>
        <v>Coke</v>
      </c>
      <c r="F17" s="188" t="str">
        <f t="shared" si="0"/>
        <v>Fanta</v>
      </c>
      <c r="G17" s="190">
        <v>5</v>
      </c>
      <c r="R17" s="230"/>
      <c r="S17" s="231"/>
      <c r="T17" s="232"/>
    </row>
    <row r="18" spans="3:20" x14ac:dyDescent="0.25">
      <c r="C18" s="161"/>
      <c r="D18" s="183" t="s">
        <v>134</v>
      </c>
      <c r="E18" s="191" t="str">
        <f t="shared" si="1"/>
        <v>Coke</v>
      </c>
      <c r="F18" s="188" t="str">
        <f t="shared" si="0"/>
        <v>Coke Zero</v>
      </c>
      <c r="G18" s="190">
        <v>5</v>
      </c>
      <c r="R18" s="233"/>
      <c r="S18" s="234" t="s">
        <v>155</v>
      </c>
      <c r="T18" s="235"/>
    </row>
    <row r="19" spans="3:20" ht="15.75" thickBot="1" x14ac:dyDescent="0.3">
      <c r="C19" s="161"/>
      <c r="D19" s="183" t="s">
        <v>135</v>
      </c>
      <c r="E19" s="191" t="str">
        <f t="shared" si="1"/>
        <v>Coke</v>
      </c>
      <c r="F19" s="188" t="str">
        <f t="shared" si="0"/>
        <v>Diet Coke</v>
      </c>
      <c r="G19" s="190">
        <v>5</v>
      </c>
      <c r="R19" s="236"/>
      <c r="S19" s="237"/>
      <c r="T19" s="238"/>
    </row>
    <row r="20" spans="3:20" x14ac:dyDescent="0.25">
      <c r="C20" s="161"/>
      <c r="D20" s="183" t="s">
        <v>140</v>
      </c>
      <c r="E20" s="191" t="str">
        <f>+D7</f>
        <v>Pepsi</v>
      </c>
      <c r="F20" s="188" t="str">
        <f>+D8</f>
        <v>Mt Dew</v>
      </c>
      <c r="G20" s="190">
        <v>5</v>
      </c>
    </row>
    <row r="21" spans="3:20" x14ac:dyDescent="0.25">
      <c r="C21" s="161"/>
      <c r="D21" s="183" t="s">
        <v>139</v>
      </c>
      <c r="E21" s="191" t="str">
        <f>+E20</f>
        <v>Pepsi</v>
      </c>
      <c r="F21" s="188" t="str">
        <f t="shared" ref="F21:F24" si="2">+D9</f>
        <v>7 Up</v>
      </c>
      <c r="G21" s="190">
        <v>5</v>
      </c>
    </row>
    <row r="22" spans="3:20" x14ac:dyDescent="0.25">
      <c r="C22" s="161"/>
      <c r="D22" s="183" t="s">
        <v>138</v>
      </c>
      <c r="E22" s="191" t="str">
        <f t="shared" ref="E22:E24" si="3">+E21</f>
        <v>Pepsi</v>
      </c>
      <c r="F22" s="188" t="str">
        <f t="shared" si="2"/>
        <v>Fanta</v>
      </c>
      <c r="G22" s="190">
        <v>5</v>
      </c>
    </row>
    <row r="23" spans="3:20" x14ac:dyDescent="0.25">
      <c r="C23" s="161"/>
      <c r="D23" s="183" t="s">
        <v>137</v>
      </c>
      <c r="E23" s="191" t="str">
        <f t="shared" si="3"/>
        <v>Pepsi</v>
      </c>
      <c r="F23" s="188" t="str">
        <f t="shared" si="2"/>
        <v>Coke Zero</v>
      </c>
      <c r="G23" s="190">
        <v>5</v>
      </c>
    </row>
    <row r="24" spans="3:20" x14ac:dyDescent="0.25">
      <c r="C24" s="161"/>
      <c r="D24" s="183" t="s">
        <v>136</v>
      </c>
      <c r="E24" s="191" t="str">
        <f t="shared" si="3"/>
        <v>Pepsi</v>
      </c>
      <c r="F24" s="188" t="str">
        <f t="shared" si="2"/>
        <v>Diet Coke</v>
      </c>
      <c r="G24" s="190">
        <v>5</v>
      </c>
    </row>
    <row r="25" spans="3:20" x14ac:dyDescent="0.25">
      <c r="C25" s="161"/>
      <c r="D25" s="183"/>
      <c r="E25" s="191" t="str">
        <f>+D8</f>
        <v>Mt Dew</v>
      </c>
      <c r="F25" s="188" t="str">
        <f>+D9</f>
        <v>7 Up</v>
      </c>
      <c r="G25" s="190">
        <v>5</v>
      </c>
    </row>
    <row r="26" spans="3:20" x14ac:dyDescent="0.25">
      <c r="C26" s="161"/>
      <c r="D26" s="183"/>
      <c r="E26" s="191" t="str">
        <f>+E25</f>
        <v>Mt Dew</v>
      </c>
      <c r="F26" s="188" t="str">
        <f t="shared" ref="F26:F28" si="4">+D10</f>
        <v>Fanta</v>
      </c>
      <c r="G26" s="190">
        <v>5</v>
      </c>
    </row>
    <row r="27" spans="3:20" x14ac:dyDescent="0.25">
      <c r="C27" s="161"/>
      <c r="D27" s="183"/>
      <c r="E27" s="191" t="str">
        <f t="shared" ref="E27:E28" si="5">+E26</f>
        <v>Mt Dew</v>
      </c>
      <c r="F27" s="188" t="str">
        <f t="shared" si="4"/>
        <v>Coke Zero</v>
      </c>
      <c r="G27" s="190">
        <v>5</v>
      </c>
    </row>
    <row r="28" spans="3:20" x14ac:dyDescent="0.25">
      <c r="C28" s="161"/>
      <c r="D28" s="162"/>
      <c r="E28" s="191" t="str">
        <f t="shared" si="5"/>
        <v>Mt Dew</v>
      </c>
      <c r="F28" s="188" t="str">
        <f t="shared" si="4"/>
        <v>Diet Coke</v>
      </c>
      <c r="G28" s="205">
        <v>5</v>
      </c>
    </row>
    <row r="29" spans="3:20" x14ac:dyDescent="0.25">
      <c r="C29" s="161"/>
      <c r="D29" s="162"/>
      <c r="E29" s="191" t="str">
        <f>+D9</f>
        <v>7 Up</v>
      </c>
      <c r="F29" s="188" t="str">
        <f>+D10</f>
        <v>Fanta</v>
      </c>
      <c r="G29" s="190">
        <v>5</v>
      </c>
    </row>
    <row r="30" spans="3:20" x14ac:dyDescent="0.25">
      <c r="C30" s="161"/>
      <c r="D30" s="162"/>
      <c r="E30" s="191" t="str">
        <f>+E29</f>
        <v>7 Up</v>
      </c>
      <c r="F30" s="188" t="str">
        <f t="shared" ref="F30:F31" si="6">+D11</f>
        <v>Coke Zero</v>
      </c>
      <c r="G30" s="190">
        <v>5</v>
      </c>
    </row>
    <row r="31" spans="3:20" x14ac:dyDescent="0.25">
      <c r="C31" s="161"/>
      <c r="D31" s="162"/>
      <c r="E31" s="191" t="str">
        <f>+E30</f>
        <v>7 Up</v>
      </c>
      <c r="F31" s="188" t="str">
        <f t="shared" si="6"/>
        <v>Diet Coke</v>
      </c>
      <c r="G31" s="190">
        <v>5</v>
      </c>
    </row>
    <row r="32" spans="3:20" x14ac:dyDescent="0.25">
      <c r="C32" s="161"/>
      <c r="D32" s="162"/>
      <c r="E32" s="191" t="str">
        <f>+D10</f>
        <v>Fanta</v>
      </c>
      <c r="F32" s="188" t="str">
        <f>+D11</f>
        <v>Coke Zero</v>
      </c>
      <c r="G32" s="190">
        <v>5</v>
      </c>
    </row>
    <row r="33" spans="3:7" x14ac:dyDescent="0.25">
      <c r="C33" s="161"/>
      <c r="D33" s="162"/>
      <c r="E33" s="191" t="str">
        <f>+E32</f>
        <v>Fanta</v>
      </c>
      <c r="F33" s="188" t="str">
        <f>+D12</f>
        <v>Diet Coke</v>
      </c>
      <c r="G33" s="190">
        <v>5</v>
      </c>
    </row>
    <row r="34" spans="3:7" ht="15.75" thickBot="1" x14ac:dyDescent="0.3">
      <c r="C34" s="164"/>
      <c r="D34" s="165"/>
      <c r="E34" s="201" t="str">
        <f>+D11</f>
        <v>Coke Zero</v>
      </c>
      <c r="F34" s="202" t="str">
        <f>+D12</f>
        <v>Diet Coke</v>
      </c>
      <c r="G34" s="203">
        <v>5</v>
      </c>
    </row>
    <row r="35" spans="3:7" ht="19.5" thickBot="1" x14ac:dyDescent="0.35">
      <c r="C35" s="219" t="s">
        <v>146</v>
      </c>
      <c r="D35" s="219" t="s">
        <v>148</v>
      </c>
      <c r="E35" s="162"/>
      <c r="F35" s="162"/>
      <c r="G35" s="163"/>
    </row>
    <row r="36" spans="3:7" ht="15.75" thickBot="1" x14ac:dyDescent="0.3">
      <c r="C36" s="161"/>
      <c r="D36" s="162"/>
      <c r="E36" s="162"/>
      <c r="F36" s="162"/>
      <c r="G36" s="163"/>
    </row>
    <row r="37" spans="3:7" ht="15.75" thickBot="1" x14ac:dyDescent="0.3">
      <c r="C37" s="185" t="s">
        <v>149</v>
      </c>
      <c r="D37" s="184" t="s">
        <v>150</v>
      </c>
      <c r="E37" s="162"/>
      <c r="F37" s="186" t="s">
        <v>159</v>
      </c>
      <c r="G37" s="163"/>
    </row>
    <row r="38" spans="3:7" ht="15.75" thickBot="1" x14ac:dyDescent="0.3">
      <c r="C38" s="164"/>
      <c r="D38" s="165"/>
      <c r="E38" s="165"/>
      <c r="F38" s="165"/>
      <c r="G38" s="166"/>
    </row>
    <row r="39" spans="3:7" ht="19.5" thickBot="1" x14ac:dyDescent="0.35">
      <c r="C39" s="217" t="s">
        <v>151</v>
      </c>
      <c r="D39" s="217" t="s">
        <v>147</v>
      </c>
      <c r="E39" s="159"/>
      <c r="F39" s="159"/>
      <c r="G39" s="160"/>
    </row>
    <row r="40" spans="3:7" x14ac:dyDescent="0.25">
      <c r="C40" s="161"/>
      <c r="D40" s="162"/>
      <c r="E40" s="162"/>
      <c r="F40" s="162"/>
      <c r="G40" s="163"/>
    </row>
    <row r="41" spans="3:7" x14ac:dyDescent="0.25">
      <c r="C41" s="161"/>
      <c r="D41" s="258" t="s">
        <v>152</v>
      </c>
      <c r="E41" s="258"/>
      <c r="F41" s="258"/>
      <c r="G41" s="163"/>
    </row>
    <row r="42" spans="3:7" ht="15.75" thickBot="1" x14ac:dyDescent="0.3">
      <c r="C42" s="164"/>
      <c r="D42" s="165"/>
      <c r="E42" s="165"/>
      <c r="F42" s="165"/>
      <c r="G42" s="166"/>
    </row>
    <row r="43" spans="3:7" x14ac:dyDescent="0.25">
      <c r="C43" s="208"/>
      <c r="D43" s="209"/>
      <c r="E43" s="209"/>
      <c r="F43" s="209"/>
      <c r="G43" s="210"/>
    </row>
    <row r="44" spans="3:7" x14ac:dyDescent="0.25">
      <c r="C44" s="211"/>
      <c r="D44" s="212" t="s">
        <v>166</v>
      </c>
      <c r="E44" s="213"/>
      <c r="F44" s="213"/>
      <c r="G44" s="214"/>
    </row>
    <row r="45" spans="3:7" ht="15.75" thickBot="1" x14ac:dyDescent="0.3">
      <c r="C45" s="215"/>
      <c r="D45" s="216"/>
      <c r="E45" s="216"/>
      <c r="F45" s="216"/>
      <c r="G45" s="187"/>
    </row>
  </sheetData>
  <mergeCells count="4">
    <mergeCell ref="C2:H2"/>
    <mergeCell ref="E13:F13"/>
    <mergeCell ref="D41:F41"/>
    <mergeCell ref="P15:V15"/>
  </mergeCells>
  <dataValidations count="1">
    <dataValidation type="decimal" allowBlank="1" showErrorMessage="1" errorTitle="Outside range" error="Use the 1-9 scale" promptTitle="Outside range" prompt="Use the 1-9 scale" sqref="G14:G34">
      <formula1>1</formula1>
      <formula2>9</formula2>
    </dataValidation>
  </dataValidations>
  <hyperlinks>
    <hyperlink ref="D41:F41" location="'Map for 7 brands'!AH1" display="Click here to view map - make sure all data is entered first"/>
    <hyperlink ref="S13" location="'Map for 7 brands'!A1" display="Go back to data"/>
    <hyperlink ref="S18" location="Welcome!A1" display="Go back to Welcome Page"/>
    <hyperlink ref="D44" location="Welcome!A1" display="Go back to Welcome Page and menu"/>
  </hyperlink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62"/>
  <sheetViews>
    <sheetView topLeftCell="A28" workbookViewId="0">
      <selection activeCell="C130" sqref="C130"/>
    </sheetView>
  </sheetViews>
  <sheetFormatPr defaultRowHeight="15" x14ac:dyDescent="0.25"/>
  <cols>
    <col min="12" max="12" width="10.28515625" bestFit="1" customWidth="1"/>
  </cols>
  <sheetData>
    <row r="1" spans="2:20" ht="15.75" thickBot="1" x14ac:dyDescent="0.3"/>
    <row r="2" spans="2:20" x14ac:dyDescent="0.25">
      <c r="B2" s="16"/>
      <c r="C2" s="9"/>
      <c r="D2" s="7">
        <v>1</v>
      </c>
      <c r="E2" s="8">
        <v>2</v>
      </c>
      <c r="F2" s="8">
        <v>3</v>
      </c>
      <c r="G2" s="8">
        <v>4</v>
      </c>
      <c r="H2" s="8">
        <v>5</v>
      </c>
      <c r="I2" s="8">
        <v>6</v>
      </c>
      <c r="J2" s="9">
        <v>7</v>
      </c>
      <c r="L2" s="15"/>
      <c r="M2" t="s">
        <v>108</v>
      </c>
      <c r="N2" t="s">
        <v>109</v>
      </c>
      <c r="O2" s="15">
        <f>+'Map for 7 brands'!G14</f>
        <v>5</v>
      </c>
      <c r="P2" s="15"/>
      <c r="Q2" s="15"/>
      <c r="R2" s="15"/>
      <c r="S2" s="15"/>
      <c r="T2" s="15"/>
    </row>
    <row r="3" spans="2:20" ht="15.75" thickBot="1" x14ac:dyDescent="0.3">
      <c r="B3" s="13"/>
      <c r="C3" s="14"/>
      <c r="D3" s="111" t="str">
        <f>+C4</f>
        <v>Coke</v>
      </c>
      <c r="E3" s="17" t="str">
        <f>+C5</f>
        <v>Pepsi</v>
      </c>
      <c r="F3" s="17" t="str">
        <f>+C6</f>
        <v>Mt Dew</v>
      </c>
      <c r="G3" s="17" t="str">
        <f>+C7</f>
        <v>7 Up</v>
      </c>
      <c r="H3" s="17" t="str">
        <f>+C8</f>
        <v>Fanta</v>
      </c>
      <c r="I3" s="17" t="str">
        <f>+C9</f>
        <v>Coke Zero</v>
      </c>
      <c r="J3" s="18" t="str">
        <f>+C10</f>
        <v>Diet Coke</v>
      </c>
      <c r="L3" s="15"/>
      <c r="M3" s="15" t="s">
        <v>108</v>
      </c>
      <c r="N3" s="15" t="s">
        <v>143</v>
      </c>
      <c r="O3" s="15">
        <f>+'Map for 7 brands'!G15</f>
        <v>5</v>
      </c>
      <c r="P3" s="17"/>
      <c r="Q3" s="17"/>
      <c r="R3" s="17"/>
      <c r="S3" s="17"/>
      <c r="T3" s="17"/>
    </row>
    <row r="4" spans="2:20" x14ac:dyDescent="0.25">
      <c r="B4" s="13">
        <v>1</v>
      </c>
      <c r="C4" s="18" t="str">
        <f>+'Map for 7 brands'!D6</f>
        <v>Coke</v>
      </c>
      <c r="D4" s="20">
        <v>0</v>
      </c>
      <c r="E4" s="23">
        <f>+D5</f>
        <v>5</v>
      </c>
      <c r="F4" s="23">
        <f>+D6</f>
        <v>5</v>
      </c>
      <c r="G4" s="23">
        <f>+D7</f>
        <v>5</v>
      </c>
      <c r="H4" s="23">
        <f>+D8</f>
        <v>5</v>
      </c>
      <c r="I4" s="23">
        <f>+D9</f>
        <v>5</v>
      </c>
      <c r="J4" s="24">
        <f>+D10</f>
        <v>5</v>
      </c>
      <c r="L4" s="17"/>
      <c r="M4" s="15" t="s">
        <v>108</v>
      </c>
      <c r="N4" s="17" t="s">
        <v>110</v>
      </c>
      <c r="O4" s="15">
        <f>+'Map for 7 brands'!G16</f>
        <v>5</v>
      </c>
      <c r="P4" s="35"/>
      <c r="Q4" s="35"/>
      <c r="R4" s="35"/>
      <c r="S4" s="35"/>
      <c r="T4" s="35"/>
    </row>
    <row r="5" spans="2:20" x14ac:dyDescent="0.25">
      <c r="B5" s="13">
        <v>2</v>
      </c>
      <c r="C5" s="18" t="str">
        <f>+'Map for 7 brands'!D7</f>
        <v>Pepsi</v>
      </c>
      <c r="D5" s="13">
        <f>+O2</f>
        <v>5</v>
      </c>
      <c r="E5" s="21">
        <v>0</v>
      </c>
      <c r="F5" s="21">
        <f>+E6</f>
        <v>5</v>
      </c>
      <c r="G5" s="21">
        <f>+E7</f>
        <v>5</v>
      </c>
      <c r="H5" s="21">
        <f>+E8</f>
        <v>5</v>
      </c>
      <c r="I5" s="21">
        <f>+E9</f>
        <v>5</v>
      </c>
      <c r="J5" s="25">
        <f>+E10</f>
        <v>5</v>
      </c>
      <c r="L5" s="17"/>
      <c r="M5" s="17" t="s">
        <v>108</v>
      </c>
      <c r="N5" s="35" t="s">
        <v>144</v>
      </c>
      <c r="O5" s="15">
        <f>+'Map for 7 brands'!G17</f>
        <v>5</v>
      </c>
      <c r="P5" s="35"/>
      <c r="Q5" s="35"/>
      <c r="R5" s="35"/>
      <c r="S5" s="35"/>
      <c r="T5" s="35"/>
    </row>
    <row r="6" spans="2:20" x14ac:dyDescent="0.25">
      <c r="B6" s="13">
        <v>3</v>
      </c>
      <c r="C6" s="18" t="str">
        <f>+'Map for 7 brands'!D8</f>
        <v>Mt Dew</v>
      </c>
      <c r="D6" s="13">
        <f t="shared" ref="D6:D10" si="0">+O3</f>
        <v>5</v>
      </c>
      <c r="E6" s="15">
        <f>+O8</f>
        <v>5</v>
      </c>
      <c r="F6" s="21">
        <v>0</v>
      </c>
      <c r="G6" s="21">
        <f>+F7</f>
        <v>5</v>
      </c>
      <c r="H6" s="21">
        <f>+F8</f>
        <v>5</v>
      </c>
      <c r="I6" s="21">
        <f>+F9</f>
        <v>5</v>
      </c>
      <c r="J6" s="25">
        <f>+F10</f>
        <v>5</v>
      </c>
      <c r="L6" s="17"/>
      <c r="M6" s="17" t="s">
        <v>108</v>
      </c>
      <c r="N6" s="35" t="s">
        <v>157</v>
      </c>
      <c r="O6" s="15">
        <f>+'Map for 7 brands'!G18</f>
        <v>5</v>
      </c>
      <c r="P6" s="35"/>
      <c r="Q6" s="35"/>
      <c r="R6" s="35"/>
      <c r="S6" s="35"/>
      <c r="T6" s="35"/>
    </row>
    <row r="7" spans="2:20" x14ac:dyDescent="0.25">
      <c r="B7" s="13">
        <v>4</v>
      </c>
      <c r="C7" s="18" t="str">
        <f>+'Map for 7 brands'!D9</f>
        <v>7 Up</v>
      </c>
      <c r="D7" s="13">
        <f t="shared" si="0"/>
        <v>5</v>
      </c>
      <c r="E7" s="15">
        <f t="shared" ref="E7:E10" si="1">+O9</f>
        <v>5</v>
      </c>
      <c r="F7" s="40">
        <f>+O13</f>
        <v>5</v>
      </c>
      <c r="G7" s="21">
        <v>0</v>
      </c>
      <c r="H7" s="21">
        <f>+G8</f>
        <v>5</v>
      </c>
      <c r="I7" s="21">
        <f>+G9</f>
        <v>5</v>
      </c>
      <c r="J7" s="25">
        <f>+G10</f>
        <v>5</v>
      </c>
      <c r="L7" s="17"/>
      <c r="M7" s="17" t="s">
        <v>108</v>
      </c>
      <c r="N7" s="35" t="s">
        <v>160</v>
      </c>
      <c r="O7" s="15">
        <f>+'Map for 7 brands'!G19</f>
        <v>5</v>
      </c>
      <c r="P7" s="35"/>
      <c r="Q7" s="35"/>
      <c r="R7" s="35"/>
      <c r="S7" s="35"/>
      <c r="T7" s="35"/>
    </row>
    <row r="8" spans="2:20" x14ac:dyDescent="0.25">
      <c r="B8" s="13">
        <v>5</v>
      </c>
      <c r="C8" s="18" t="str">
        <f>+'Map for 7 brands'!D10</f>
        <v>Fanta</v>
      </c>
      <c r="D8" s="13">
        <f t="shared" si="0"/>
        <v>5</v>
      </c>
      <c r="E8" s="15">
        <f t="shared" si="1"/>
        <v>5</v>
      </c>
      <c r="F8" s="40">
        <f t="shared" ref="F8:F10" si="2">+O14</f>
        <v>5</v>
      </c>
      <c r="G8" s="40">
        <f>+O17</f>
        <v>5</v>
      </c>
      <c r="H8" s="21">
        <v>0</v>
      </c>
      <c r="I8" s="21">
        <f>+H9</f>
        <v>5</v>
      </c>
      <c r="J8" s="25">
        <f>+H10</f>
        <v>5</v>
      </c>
      <c r="L8" s="17"/>
      <c r="M8" s="17" t="s">
        <v>109</v>
      </c>
      <c r="N8" s="35" t="s">
        <v>143</v>
      </c>
      <c r="O8" s="15">
        <f>+'Map for 7 brands'!G20</f>
        <v>5</v>
      </c>
      <c r="P8" s="35"/>
      <c r="Q8" s="35"/>
      <c r="R8" s="35"/>
      <c r="S8" s="35"/>
      <c r="T8" s="35"/>
    </row>
    <row r="9" spans="2:20" x14ac:dyDescent="0.25">
      <c r="B9" s="13">
        <v>6</v>
      </c>
      <c r="C9" s="18" t="str">
        <f>+'Map for 7 brands'!D11</f>
        <v>Coke Zero</v>
      </c>
      <c r="D9" s="13">
        <f t="shared" si="0"/>
        <v>5</v>
      </c>
      <c r="E9" s="15">
        <f t="shared" si="1"/>
        <v>5</v>
      </c>
      <c r="F9" s="40">
        <f t="shared" si="2"/>
        <v>5</v>
      </c>
      <c r="G9" s="40">
        <f t="shared" ref="G9:G10" si="3">+O18</f>
        <v>5</v>
      </c>
      <c r="H9" s="40">
        <f>+O20</f>
        <v>5</v>
      </c>
      <c r="I9" s="21">
        <v>0</v>
      </c>
      <c r="J9" s="25">
        <f>+I10</f>
        <v>5</v>
      </c>
      <c r="L9" s="17"/>
      <c r="M9" s="17" t="s">
        <v>109</v>
      </c>
      <c r="N9" s="35" t="s">
        <v>110</v>
      </c>
      <c r="O9" s="15">
        <f>+'Map for 7 brands'!G21</f>
        <v>5</v>
      </c>
      <c r="P9" s="35"/>
      <c r="Q9" s="35"/>
      <c r="R9" s="35"/>
      <c r="S9" s="35"/>
      <c r="T9" s="35"/>
    </row>
    <row r="10" spans="2:20" ht="15.75" thickBot="1" x14ac:dyDescent="0.3">
      <c r="B10" s="10">
        <v>7</v>
      </c>
      <c r="C10" s="30" t="str">
        <f>+'Map for 7 brands'!D12</f>
        <v>Diet Coke</v>
      </c>
      <c r="D10" s="10">
        <f t="shared" si="0"/>
        <v>5</v>
      </c>
      <c r="E10" s="11">
        <f t="shared" si="1"/>
        <v>5</v>
      </c>
      <c r="F10" s="207">
        <f t="shared" si="2"/>
        <v>5</v>
      </c>
      <c r="G10" s="207">
        <f t="shared" si="3"/>
        <v>5</v>
      </c>
      <c r="H10" s="207">
        <f>+O21</f>
        <v>5</v>
      </c>
      <c r="I10" s="11">
        <f>+O22</f>
        <v>5</v>
      </c>
      <c r="J10" s="22">
        <v>0</v>
      </c>
      <c r="L10" s="17"/>
      <c r="M10" s="17" t="s">
        <v>109</v>
      </c>
      <c r="N10" s="35" t="s">
        <v>144</v>
      </c>
      <c r="O10" s="15">
        <f>+'Map for 7 brands'!G22</f>
        <v>5</v>
      </c>
      <c r="P10" s="145"/>
      <c r="Q10" s="145"/>
      <c r="R10" s="145"/>
      <c r="S10" s="145"/>
      <c r="T10" s="145"/>
    </row>
    <row r="11" spans="2:20" x14ac:dyDescent="0.25">
      <c r="L11" s="17"/>
      <c r="M11" s="17" t="s">
        <v>109</v>
      </c>
      <c r="N11" s="145" t="s">
        <v>157</v>
      </c>
      <c r="O11" s="15">
        <f>+'Map for 7 brands'!G23</f>
        <v>5</v>
      </c>
      <c r="P11" s="145"/>
      <c r="Q11" s="145"/>
      <c r="R11" s="145"/>
      <c r="S11" s="145"/>
      <c r="T11" s="145"/>
    </row>
    <row r="12" spans="2:20" x14ac:dyDescent="0.25">
      <c r="C12" s="28" t="s">
        <v>2</v>
      </c>
      <c r="D12" s="3">
        <f>SUM(D4:D11)+D2/1000</f>
        <v>30.001000000000001</v>
      </c>
      <c r="E12" s="3">
        <f t="shared" ref="E12:J12" si="4">SUM(E4:E11)+E2/1000</f>
        <v>30.001999999999999</v>
      </c>
      <c r="F12" s="3">
        <f t="shared" si="4"/>
        <v>30.003</v>
      </c>
      <c r="G12" s="3">
        <f t="shared" si="4"/>
        <v>30.004000000000001</v>
      </c>
      <c r="H12" s="3">
        <f t="shared" si="4"/>
        <v>30.004999999999999</v>
      </c>
      <c r="I12" s="3">
        <f t="shared" si="4"/>
        <v>30.006</v>
      </c>
      <c r="J12" s="3">
        <f t="shared" si="4"/>
        <v>30.007000000000001</v>
      </c>
      <c r="L12" s="17">
        <f>COUNTIF(D12:J12,"&gt;.5")</f>
        <v>7</v>
      </c>
      <c r="M12" s="17" t="s">
        <v>109</v>
      </c>
      <c r="N12" s="145" t="s">
        <v>160</v>
      </c>
      <c r="O12" s="15">
        <f>+'Map for 7 brands'!G24</f>
        <v>5</v>
      </c>
      <c r="P12" s="145"/>
      <c r="Q12" s="145"/>
      <c r="R12" s="145"/>
      <c r="S12" s="145"/>
      <c r="T12" s="145"/>
    </row>
    <row r="13" spans="2:20" x14ac:dyDescent="0.25">
      <c r="L13" s="17"/>
      <c r="M13" s="17" t="s">
        <v>143</v>
      </c>
      <c r="N13" s="145" t="s">
        <v>110</v>
      </c>
      <c r="O13" s="15">
        <f>+'Map for 7 brands'!G25</f>
        <v>5</v>
      </c>
      <c r="P13" s="145"/>
      <c r="Q13" s="145"/>
      <c r="R13" s="145"/>
      <c r="S13" s="145"/>
      <c r="T13" s="145"/>
    </row>
    <row r="14" spans="2:20" x14ac:dyDescent="0.25">
      <c r="C14" s="28" t="s">
        <v>3</v>
      </c>
      <c r="D14">
        <f t="shared" ref="D14:J14" si="5">RANK(D12,Total_spread)</f>
        <v>7</v>
      </c>
      <c r="E14">
        <f t="shared" si="5"/>
        <v>6</v>
      </c>
      <c r="F14">
        <f t="shared" si="5"/>
        <v>5</v>
      </c>
      <c r="G14">
        <f t="shared" si="5"/>
        <v>4</v>
      </c>
      <c r="H14">
        <f t="shared" si="5"/>
        <v>3</v>
      </c>
      <c r="I14">
        <f t="shared" si="5"/>
        <v>2</v>
      </c>
      <c r="J14">
        <f t="shared" si="5"/>
        <v>1</v>
      </c>
      <c r="L14" s="28"/>
      <c r="M14" s="17" t="s">
        <v>143</v>
      </c>
      <c r="N14" s="145" t="s">
        <v>144</v>
      </c>
      <c r="O14" s="15">
        <f>+'Map for 7 brands'!G26</f>
        <v>5</v>
      </c>
      <c r="P14" s="145"/>
      <c r="Q14" s="145"/>
      <c r="R14" s="145"/>
      <c r="S14" s="145"/>
      <c r="T14" s="145"/>
    </row>
    <row r="15" spans="2:20" x14ac:dyDescent="0.25">
      <c r="D15" s="34">
        <f>8-D14</f>
        <v>1</v>
      </c>
      <c r="E15" s="34">
        <f t="shared" ref="E15:J15" si="6">8-E14</f>
        <v>2</v>
      </c>
      <c r="F15" s="34">
        <f t="shared" si="6"/>
        <v>3</v>
      </c>
      <c r="G15" s="34">
        <f t="shared" si="6"/>
        <v>4</v>
      </c>
      <c r="H15" s="34">
        <f t="shared" si="6"/>
        <v>5</v>
      </c>
      <c r="I15" s="34">
        <f t="shared" si="6"/>
        <v>6</v>
      </c>
      <c r="J15" s="34">
        <f t="shared" si="6"/>
        <v>7</v>
      </c>
      <c r="L15" s="28"/>
      <c r="M15" s="17" t="s">
        <v>143</v>
      </c>
      <c r="N15" s="145" t="s">
        <v>157</v>
      </c>
      <c r="O15" s="15">
        <f>+'Map for 7 brands'!G27</f>
        <v>5</v>
      </c>
      <c r="P15" s="145"/>
      <c r="Q15" s="145"/>
      <c r="R15" s="145"/>
      <c r="S15" s="145"/>
      <c r="T15" s="145"/>
    </row>
    <row r="16" spans="2:20" x14ac:dyDescent="0.25">
      <c r="M16" s="17" t="s">
        <v>143</v>
      </c>
      <c r="N16" s="145" t="s">
        <v>160</v>
      </c>
      <c r="O16" s="15">
        <f>+'Map for 7 brands'!G28</f>
        <v>5</v>
      </c>
    </row>
    <row r="17" spans="2:24" x14ac:dyDescent="0.25">
      <c r="C17" s="1" t="s">
        <v>8</v>
      </c>
      <c r="D17">
        <f t="shared" ref="D17:J17" si="7">IF(D14=1,D2,0)</f>
        <v>0</v>
      </c>
      <c r="E17">
        <f t="shared" si="7"/>
        <v>0</v>
      </c>
      <c r="F17">
        <f t="shared" si="7"/>
        <v>0</v>
      </c>
      <c r="G17">
        <f t="shared" si="7"/>
        <v>0</v>
      </c>
      <c r="H17">
        <f t="shared" si="7"/>
        <v>0</v>
      </c>
      <c r="I17">
        <f t="shared" si="7"/>
        <v>0</v>
      </c>
      <c r="J17">
        <f t="shared" si="7"/>
        <v>7</v>
      </c>
      <c r="K17" s="4">
        <f>SUM(D17:J17)</f>
        <v>7</v>
      </c>
      <c r="M17" t="s">
        <v>110</v>
      </c>
      <c r="N17" t="s">
        <v>144</v>
      </c>
      <c r="O17" s="15">
        <f>+'Map for 7 brands'!G29</f>
        <v>5</v>
      </c>
    </row>
    <row r="18" spans="2:24" ht="15.75" thickBot="1" x14ac:dyDescent="0.3">
      <c r="M18" t="s">
        <v>144</v>
      </c>
      <c r="N18" t="s">
        <v>157</v>
      </c>
      <c r="O18" s="15">
        <f>+'Map for 7 brands'!G30</f>
        <v>5</v>
      </c>
    </row>
    <row r="19" spans="2:24" x14ac:dyDescent="0.25">
      <c r="C19" s="1" t="s">
        <v>4</v>
      </c>
      <c r="D19">
        <f>IF(D14=1,2,0)</f>
        <v>0</v>
      </c>
      <c r="E19">
        <f t="shared" ref="E19:J19" si="8">IF(E14=1,2,0)</f>
        <v>0</v>
      </c>
      <c r="F19">
        <f t="shared" si="8"/>
        <v>0</v>
      </c>
      <c r="G19">
        <f t="shared" si="8"/>
        <v>0</v>
      </c>
      <c r="H19">
        <f t="shared" si="8"/>
        <v>0</v>
      </c>
      <c r="I19">
        <f t="shared" si="8"/>
        <v>0</v>
      </c>
      <c r="J19">
        <f t="shared" si="8"/>
        <v>2</v>
      </c>
      <c r="K19">
        <f>SUM(D19:J19)</f>
        <v>2</v>
      </c>
      <c r="M19" t="s">
        <v>157</v>
      </c>
      <c r="N19" t="s">
        <v>160</v>
      </c>
      <c r="O19" s="15">
        <f>+'Map for 7 brands'!G31</f>
        <v>5</v>
      </c>
      <c r="P19">
        <v>2</v>
      </c>
      <c r="Q19" s="146">
        <f>+E156</f>
        <v>4.5</v>
      </c>
      <c r="R19" s="147">
        <f>+F156</f>
        <v>4.5</v>
      </c>
      <c r="S19" s="9" t="str">
        <f>+C4</f>
        <v>Coke</v>
      </c>
      <c r="U19" s="152">
        <f>+Q19</f>
        <v>4.5</v>
      </c>
      <c r="V19" s="152">
        <f>+R19</f>
        <v>4.5</v>
      </c>
      <c r="W19" t="str">
        <f>+C4</f>
        <v>Coke</v>
      </c>
      <c r="X19" s="5" t="str">
        <f>IF(U19=" ","",W19)</f>
        <v>Coke</v>
      </c>
    </row>
    <row r="20" spans="2:24" x14ac:dyDescent="0.25">
      <c r="C20" s="1" t="s">
        <v>5</v>
      </c>
      <c r="D20">
        <f>IF(D14=1,2,0)</f>
        <v>0</v>
      </c>
      <c r="E20">
        <f t="shared" ref="E20:J20" si="9">IF(E14=1,2,0)</f>
        <v>0</v>
      </c>
      <c r="F20">
        <f t="shared" si="9"/>
        <v>0</v>
      </c>
      <c r="G20">
        <f t="shared" si="9"/>
        <v>0</v>
      </c>
      <c r="H20">
        <f t="shared" si="9"/>
        <v>0</v>
      </c>
      <c r="I20">
        <f t="shared" si="9"/>
        <v>0</v>
      </c>
      <c r="J20">
        <f t="shared" si="9"/>
        <v>2</v>
      </c>
      <c r="K20">
        <f>SUM(D20:J20)</f>
        <v>2</v>
      </c>
      <c r="M20" t="s">
        <v>144</v>
      </c>
      <c r="N20" t="s">
        <v>157</v>
      </c>
      <c r="O20" s="15">
        <f>+'Map for 7 brands'!G32</f>
        <v>5</v>
      </c>
      <c r="P20">
        <v>2</v>
      </c>
      <c r="Q20" s="148">
        <f t="shared" ref="Q20:R20" si="10">+E157</f>
        <v>4.5</v>
      </c>
      <c r="R20" s="149">
        <f t="shared" si="10"/>
        <v>4.5</v>
      </c>
      <c r="S20" s="14" t="str">
        <f t="shared" ref="S20:S25" si="11">+C5</f>
        <v>Pepsi</v>
      </c>
      <c r="T20" s="37"/>
      <c r="U20" s="152">
        <f>IF(L12=1," ",Q20)</f>
        <v>4.5</v>
      </c>
      <c r="V20" s="152">
        <f>IF(L12=1," ",R20)</f>
        <v>4.5</v>
      </c>
      <c r="W20" t="str">
        <f t="shared" ref="W20:W25" si="12">+C5</f>
        <v>Pepsi</v>
      </c>
      <c r="X20" s="5" t="str">
        <f t="shared" ref="X20:X25" si="13">IF(U20=" ","",W20)</f>
        <v>Pepsi</v>
      </c>
    </row>
    <row r="21" spans="2:24" x14ac:dyDescent="0.25">
      <c r="M21" t="s">
        <v>144</v>
      </c>
      <c r="N21" t="s">
        <v>160</v>
      </c>
      <c r="O21" s="15">
        <f>+'Map for 7 brands'!G33</f>
        <v>5</v>
      </c>
      <c r="P21">
        <v>2</v>
      </c>
      <c r="Q21" s="148">
        <f t="shared" ref="Q21:R21" si="14">+E158</f>
        <v>4.4999000000000002</v>
      </c>
      <c r="R21" s="149">
        <f t="shared" si="14"/>
        <v>7.4999000000000002</v>
      </c>
      <c r="S21" s="14" t="str">
        <f t="shared" si="11"/>
        <v>Mt Dew</v>
      </c>
      <c r="T21" s="37">
        <v>2.5</v>
      </c>
      <c r="U21" s="152">
        <f>IF($L$12&lt;$T21," ",Q21)</f>
        <v>4.4999000000000002</v>
      </c>
      <c r="V21" s="152">
        <f>IF($L$12&lt;$T21," ",R21)</f>
        <v>7.4999000000000002</v>
      </c>
      <c r="W21" t="str">
        <f t="shared" si="12"/>
        <v>Mt Dew</v>
      </c>
      <c r="X21" s="5" t="str">
        <f t="shared" si="13"/>
        <v>Mt Dew</v>
      </c>
    </row>
    <row r="22" spans="2:24" x14ac:dyDescent="0.25">
      <c r="C22" s="1" t="s">
        <v>94</v>
      </c>
      <c r="D22">
        <v>3</v>
      </c>
      <c r="E22">
        <f>+D22+1</f>
        <v>4</v>
      </c>
      <c r="F22">
        <f t="shared" ref="F22:J22" si="15">+E22+1</f>
        <v>5</v>
      </c>
      <c r="G22">
        <f t="shared" si="15"/>
        <v>6</v>
      </c>
      <c r="H22">
        <f t="shared" si="15"/>
        <v>7</v>
      </c>
      <c r="I22">
        <f t="shared" si="15"/>
        <v>8</v>
      </c>
      <c r="J22">
        <f t="shared" si="15"/>
        <v>9</v>
      </c>
      <c r="M22" t="s">
        <v>157</v>
      </c>
      <c r="N22" t="s">
        <v>160</v>
      </c>
      <c r="O22" s="15">
        <f>+'Map for 7 brands'!G34</f>
        <v>5</v>
      </c>
      <c r="P22">
        <v>2</v>
      </c>
      <c r="Q22" s="148">
        <f t="shared" ref="Q22:R22" si="16">+E159</f>
        <v>4.5</v>
      </c>
      <c r="R22" s="149">
        <f t="shared" si="16"/>
        <v>4.5</v>
      </c>
      <c r="S22" s="14" t="str">
        <f t="shared" si="11"/>
        <v>7 Up</v>
      </c>
      <c r="T22" s="37">
        <v>3.5</v>
      </c>
      <c r="U22" s="152">
        <f t="shared" ref="U22:V25" si="17">IF($L$12&lt;$T22," ",Q22)</f>
        <v>4.5</v>
      </c>
      <c r="V22" s="152">
        <f t="shared" si="17"/>
        <v>4.5</v>
      </c>
      <c r="W22" t="str">
        <f t="shared" si="12"/>
        <v>7 Up</v>
      </c>
      <c r="X22" s="5" t="str">
        <f t="shared" si="13"/>
        <v>7 Up</v>
      </c>
    </row>
    <row r="23" spans="2:24" x14ac:dyDescent="0.25">
      <c r="D23" s="3">
        <f t="shared" ref="D23:J23" si="18">VLOOKUP($K17,brand_data,D22)+D2/1000</f>
        <v>5.0010000000000003</v>
      </c>
      <c r="E23" s="3">
        <f t="shared" si="18"/>
        <v>5.0019999999999998</v>
      </c>
      <c r="F23" s="3">
        <f t="shared" si="18"/>
        <v>5.0030000000000001</v>
      </c>
      <c r="G23" s="3">
        <f t="shared" si="18"/>
        <v>5.0039999999999996</v>
      </c>
      <c r="H23" s="3">
        <f t="shared" si="18"/>
        <v>5.0049999999999999</v>
      </c>
      <c r="I23" s="3">
        <f t="shared" si="18"/>
        <v>5.0060000000000002</v>
      </c>
      <c r="J23" s="3">
        <f t="shared" si="18"/>
        <v>7.0000000000000001E-3</v>
      </c>
      <c r="P23">
        <v>2</v>
      </c>
      <c r="Q23" s="148">
        <f t="shared" ref="Q23:R23" si="19">+E160</f>
        <v>6.5000999999999998</v>
      </c>
      <c r="R23" s="149">
        <f t="shared" si="19"/>
        <v>3.5001000000000002</v>
      </c>
      <c r="S23" s="14" t="str">
        <f t="shared" si="11"/>
        <v>Fanta</v>
      </c>
      <c r="T23" s="37">
        <v>4.5</v>
      </c>
      <c r="U23" s="152">
        <f t="shared" si="17"/>
        <v>6.5000999999999998</v>
      </c>
      <c r="V23" s="152">
        <f t="shared" si="17"/>
        <v>3.5001000000000002</v>
      </c>
      <c r="W23" t="str">
        <f t="shared" si="12"/>
        <v>Fanta</v>
      </c>
      <c r="X23" s="5" t="str">
        <f t="shared" si="13"/>
        <v>Fanta</v>
      </c>
    </row>
    <row r="24" spans="2:24" x14ac:dyDescent="0.25">
      <c r="C24" s="1" t="s">
        <v>3</v>
      </c>
      <c r="D24">
        <f>RANK(D23,$D23:$J23)</f>
        <v>6</v>
      </c>
      <c r="E24">
        <f t="shared" ref="E24:J24" si="20">RANK(E23,$D23:$J23)</f>
        <v>5</v>
      </c>
      <c r="F24">
        <f t="shared" si="20"/>
        <v>4</v>
      </c>
      <c r="G24">
        <f t="shared" si="20"/>
        <v>3</v>
      </c>
      <c r="H24">
        <f t="shared" si="20"/>
        <v>2</v>
      </c>
      <c r="I24">
        <f t="shared" si="20"/>
        <v>1</v>
      </c>
      <c r="J24">
        <f t="shared" si="20"/>
        <v>7</v>
      </c>
      <c r="P24">
        <v>2</v>
      </c>
      <c r="Q24" s="148">
        <f t="shared" ref="Q24:R24" si="21">+E161</f>
        <v>5</v>
      </c>
      <c r="R24" s="149">
        <f t="shared" si="21"/>
        <v>5</v>
      </c>
      <c r="S24" s="14" t="str">
        <f t="shared" si="11"/>
        <v>Coke Zero</v>
      </c>
      <c r="T24" s="37">
        <v>5.5</v>
      </c>
      <c r="U24" s="152">
        <f t="shared" si="17"/>
        <v>5</v>
      </c>
      <c r="V24" s="152">
        <f t="shared" si="17"/>
        <v>5</v>
      </c>
      <c r="W24" t="str">
        <f t="shared" si="12"/>
        <v>Coke Zero</v>
      </c>
      <c r="X24" s="5" t="str">
        <f t="shared" si="13"/>
        <v>Coke Zero</v>
      </c>
    </row>
    <row r="25" spans="2:24" ht="15.75" thickBot="1" x14ac:dyDescent="0.3">
      <c r="P25">
        <v>2</v>
      </c>
      <c r="Q25" s="150">
        <f t="shared" ref="Q25:R25" si="22">+E162</f>
        <v>2</v>
      </c>
      <c r="R25" s="151">
        <f t="shared" si="22"/>
        <v>2</v>
      </c>
      <c r="S25" s="12" t="str">
        <f t="shared" si="11"/>
        <v>Diet Coke</v>
      </c>
      <c r="T25" s="37">
        <v>6.5</v>
      </c>
      <c r="U25" s="152">
        <f t="shared" si="17"/>
        <v>2</v>
      </c>
      <c r="V25" s="152">
        <f t="shared" si="17"/>
        <v>2</v>
      </c>
      <c r="W25" t="str">
        <f t="shared" si="12"/>
        <v>Diet Coke</v>
      </c>
      <c r="X25" s="5" t="str">
        <f t="shared" si="13"/>
        <v>Diet Coke</v>
      </c>
    </row>
    <row r="26" spans="2:24" x14ac:dyDescent="0.25">
      <c r="B26" s="31" t="s">
        <v>6</v>
      </c>
      <c r="C26" s="110" t="s">
        <v>32</v>
      </c>
      <c r="D26" s="8">
        <f>IF(D24=1,D2,0)</f>
        <v>0</v>
      </c>
      <c r="E26" s="8">
        <f t="shared" ref="E26:J26" si="23">IF(E24=1,E2,0)</f>
        <v>0</v>
      </c>
      <c r="F26" s="8">
        <f t="shared" si="23"/>
        <v>0</v>
      </c>
      <c r="G26" s="8">
        <f t="shared" si="23"/>
        <v>0</v>
      </c>
      <c r="H26" s="8">
        <f t="shared" si="23"/>
        <v>0</v>
      </c>
      <c r="I26" s="8">
        <f t="shared" si="23"/>
        <v>6</v>
      </c>
      <c r="J26" s="8">
        <f t="shared" si="23"/>
        <v>0</v>
      </c>
      <c r="K26" s="26">
        <f t="shared" ref="K26:K29" si="24">SUM(D26:J26)</f>
        <v>6</v>
      </c>
      <c r="T26" s="37"/>
      <c r="U26" s="2"/>
      <c r="V26" s="2"/>
    </row>
    <row r="27" spans="2:24" x14ac:dyDescent="0.25">
      <c r="B27" s="111" t="s">
        <v>7</v>
      </c>
      <c r="C27" s="17" t="s">
        <v>24</v>
      </c>
      <c r="D27" s="15">
        <f>IF(D24=2,D2,0)</f>
        <v>0</v>
      </c>
      <c r="E27" s="15">
        <f t="shared" ref="E27:J27" si="25">IF(E24=2,E2,0)</f>
        <v>0</v>
      </c>
      <c r="F27" s="15">
        <f t="shared" si="25"/>
        <v>0</v>
      </c>
      <c r="G27" s="15">
        <f t="shared" si="25"/>
        <v>0</v>
      </c>
      <c r="H27" s="15">
        <f t="shared" si="25"/>
        <v>5</v>
      </c>
      <c r="I27" s="15">
        <f t="shared" si="25"/>
        <v>0</v>
      </c>
      <c r="J27" s="15">
        <f t="shared" si="25"/>
        <v>0</v>
      </c>
      <c r="K27" s="128">
        <f t="shared" si="24"/>
        <v>5</v>
      </c>
    </row>
    <row r="28" spans="2:24" ht="15.75" thickBot="1" x14ac:dyDescent="0.3">
      <c r="B28" s="29" t="s">
        <v>10</v>
      </c>
      <c r="C28" s="19" t="s">
        <v>17</v>
      </c>
      <c r="D28" s="11">
        <f>IF(D24=3,D2,0)</f>
        <v>0</v>
      </c>
      <c r="E28" s="11">
        <f t="shared" ref="E28:J28" si="26">IF(E24=3,E2,0)</f>
        <v>0</v>
      </c>
      <c r="F28" s="11">
        <f t="shared" si="26"/>
        <v>0</v>
      </c>
      <c r="G28" s="11">
        <f t="shared" si="26"/>
        <v>4</v>
      </c>
      <c r="H28" s="11">
        <f t="shared" si="26"/>
        <v>0</v>
      </c>
      <c r="I28" s="11">
        <f t="shared" si="26"/>
        <v>0</v>
      </c>
      <c r="J28" s="11">
        <f t="shared" si="26"/>
        <v>0</v>
      </c>
      <c r="K28" s="129">
        <f t="shared" si="24"/>
        <v>4</v>
      </c>
      <c r="Q28" s="37"/>
    </row>
    <row r="29" spans="2:24" ht="15.75" thickBot="1" x14ac:dyDescent="0.3">
      <c r="B29" s="295" t="s">
        <v>173</v>
      </c>
      <c r="C29" s="296" t="s">
        <v>10</v>
      </c>
      <c r="D29" s="297">
        <f>IF(D24=4,D2,0)</f>
        <v>0</v>
      </c>
      <c r="E29" s="297">
        <f t="shared" ref="E29:J29" si="27">IF(E24=4,E2,0)</f>
        <v>0</v>
      </c>
      <c r="F29" s="297">
        <f t="shared" si="27"/>
        <v>3</v>
      </c>
      <c r="G29" s="297">
        <f t="shared" si="27"/>
        <v>0</v>
      </c>
      <c r="H29" s="297">
        <f t="shared" si="27"/>
        <v>0</v>
      </c>
      <c r="I29" s="297">
        <f t="shared" si="27"/>
        <v>0</v>
      </c>
      <c r="J29" s="297">
        <f t="shared" si="27"/>
        <v>0</v>
      </c>
      <c r="K29" s="303">
        <f t="shared" si="24"/>
        <v>3</v>
      </c>
      <c r="Q29" s="37"/>
    </row>
    <row r="30" spans="2:24" ht="15.75" thickBot="1" x14ac:dyDescent="0.3"/>
    <row r="31" spans="2:24" ht="15.75" thickBot="1" x14ac:dyDescent="0.3">
      <c r="C31" s="107" t="s">
        <v>95</v>
      </c>
      <c r="D31" s="9">
        <f>VLOOKUP(K17,brand_data,K26+2)</f>
        <v>5</v>
      </c>
      <c r="F31" s="107" t="s">
        <v>98</v>
      </c>
      <c r="G31" s="9">
        <f>VLOOKUP(K26,brand_data,K27+2)</f>
        <v>5</v>
      </c>
      <c r="I31" s="298" t="s">
        <v>100</v>
      </c>
      <c r="J31" s="299">
        <f>VLOOKUP(K27,brand_data,K28+2)+0.0001</f>
        <v>5.0000999999999998</v>
      </c>
      <c r="K31" s="294">
        <f>MAX(J31:J33)</f>
        <v>5.0002000000000004</v>
      </c>
      <c r="L31" s="304">
        <f>IF(J31=K31,K28,K29)</f>
        <v>3</v>
      </c>
    </row>
    <row r="32" spans="2:24" x14ac:dyDescent="0.25">
      <c r="C32" s="108" t="s">
        <v>96</v>
      </c>
      <c r="D32" s="14">
        <f>VLOOKUP(K17,brand_data,K27+2)</f>
        <v>5</v>
      </c>
      <c r="F32" s="112" t="s">
        <v>99</v>
      </c>
      <c r="G32" s="14">
        <f>VLOOKUP(K26,brand_data,K28+2)</f>
        <v>5</v>
      </c>
      <c r="I32" s="300" t="s">
        <v>172</v>
      </c>
      <c r="J32" s="301">
        <f>VLOOKUP(K27,brand_data,K29+2)+0.0002</f>
        <v>5.0002000000000004</v>
      </c>
      <c r="K32" s="293"/>
      <c r="L32" s="305"/>
      <c r="Q32">
        <v>1</v>
      </c>
      <c r="R32">
        <v>0.9</v>
      </c>
    </row>
    <row r="33" spans="1:18" ht="15.75" thickBot="1" x14ac:dyDescent="0.3">
      <c r="C33" s="109" t="s">
        <v>97</v>
      </c>
      <c r="D33" s="12">
        <f>VLOOKUP(K17,brand_data,K28+2)</f>
        <v>5</v>
      </c>
      <c r="F33" s="10"/>
      <c r="G33" s="12"/>
      <c r="I33" s="327" t="s">
        <v>105</v>
      </c>
      <c r="J33" s="302"/>
      <c r="K33" s="306"/>
      <c r="L33" s="302"/>
      <c r="Q33">
        <v>2</v>
      </c>
      <c r="R33">
        <f>+R32-0.1</f>
        <v>0.8</v>
      </c>
    </row>
    <row r="34" spans="1:18" ht="15.75" thickBot="1" x14ac:dyDescent="0.3">
      <c r="B34" s="308" t="s">
        <v>174</v>
      </c>
      <c r="C34" s="308"/>
      <c r="D34" s="308"/>
      <c r="E34" s="308"/>
      <c r="F34" s="308"/>
      <c r="G34" s="308"/>
      <c r="H34" s="308">
        <v>2</v>
      </c>
      <c r="I34" s="308"/>
      <c r="J34" s="308"/>
      <c r="K34" s="308"/>
      <c r="L34" s="308"/>
      <c r="Q34">
        <v>3</v>
      </c>
      <c r="R34">
        <f t="shared" ref="R34:R40" si="28">+R33-0.1</f>
        <v>0.70000000000000007</v>
      </c>
    </row>
    <row r="35" spans="1:18" x14ac:dyDescent="0.25">
      <c r="B35" s="310"/>
      <c r="C35" s="311"/>
      <c r="D35" s="317" t="s">
        <v>101</v>
      </c>
      <c r="E35" s="318" t="s">
        <v>95</v>
      </c>
      <c r="F35" s="319" t="s">
        <v>96</v>
      </c>
      <c r="G35" s="319" t="s">
        <v>97</v>
      </c>
      <c r="H35" s="317" t="s">
        <v>175</v>
      </c>
      <c r="I35" s="318" t="s">
        <v>98</v>
      </c>
      <c r="J35" s="318" t="s">
        <v>99</v>
      </c>
      <c r="K35" s="318" t="s">
        <v>176</v>
      </c>
      <c r="L35" s="320" t="s">
        <v>100</v>
      </c>
      <c r="M35" s="113" t="s">
        <v>105</v>
      </c>
      <c r="Q35">
        <v>4</v>
      </c>
      <c r="R35">
        <f t="shared" si="28"/>
        <v>0.60000000000000009</v>
      </c>
    </row>
    <row r="36" spans="1:18" x14ac:dyDescent="0.25">
      <c r="B36" s="316" t="s">
        <v>0</v>
      </c>
      <c r="C36" s="28" t="s">
        <v>9</v>
      </c>
      <c r="D36" s="312">
        <v>2</v>
      </c>
      <c r="E36" s="312"/>
      <c r="F36" s="312"/>
      <c r="G36" s="312"/>
      <c r="H36" s="313">
        <f>+H34</f>
        <v>2</v>
      </c>
      <c r="I36" s="312"/>
      <c r="J36" s="312"/>
      <c r="K36" s="312">
        <f>+H34</f>
        <v>2</v>
      </c>
      <c r="L36" s="314"/>
      <c r="M36" s="114">
        <f>+K36</f>
        <v>2</v>
      </c>
      <c r="Q36">
        <v>5</v>
      </c>
      <c r="R36">
        <f t="shared" si="28"/>
        <v>0.50000000000000011</v>
      </c>
    </row>
    <row r="37" spans="1:18" x14ac:dyDescent="0.25">
      <c r="B37" s="321" t="s">
        <v>104</v>
      </c>
      <c r="C37" s="28" t="s">
        <v>6</v>
      </c>
      <c r="D37" s="312">
        <v>8</v>
      </c>
      <c r="E37" s="312">
        <f>+D31</f>
        <v>5</v>
      </c>
      <c r="F37" s="312"/>
      <c r="G37" s="312"/>
      <c r="H37" s="313">
        <f>+E37+H34</f>
        <v>7</v>
      </c>
      <c r="I37" s="312"/>
      <c r="J37" s="312">
        <f>+G32</f>
        <v>5</v>
      </c>
      <c r="K37" s="312">
        <f>+H37-(9-J37)/2</f>
        <v>5</v>
      </c>
      <c r="L37" s="314"/>
      <c r="M37" s="114">
        <f>+K37</f>
        <v>5</v>
      </c>
      <c r="Q37">
        <v>6</v>
      </c>
      <c r="R37">
        <f t="shared" si="28"/>
        <v>0.40000000000000013</v>
      </c>
    </row>
    <row r="38" spans="1:18" x14ac:dyDescent="0.25">
      <c r="B38" s="321" t="s">
        <v>102</v>
      </c>
      <c r="C38" s="28" t="s">
        <v>7</v>
      </c>
      <c r="D38" s="312">
        <v>8</v>
      </c>
      <c r="E38" s="312"/>
      <c r="F38" s="312">
        <f>+D32</f>
        <v>5</v>
      </c>
      <c r="G38" s="312"/>
      <c r="H38" s="313">
        <f>+F38+H34</f>
        <v>7</v>
      </c>
      <c r="I38" s="312"/>
      <c r="J38" s="312"/>
      <c r="K38" s="312">
        <f>+H38</f>
        <v>7</v>
      </c>
      <c r="L38" s="315">
        <f>+K31</f>
        <v>5.0002000000000004</v>
      </c>
      <c r="M38" s="328">
        <f>+K38-(6-L38)/2</f>
        <v>6.5000999999999998</v>
      </c>
      <c r="Q38">
        <v>7</v>
      </c>
      <c r="R38">
        <f t="shared" si="28"/>
        <v>0.30000000000000016</v>
      </c>
    </row>
    <row r="39" spans="1:18" x14ac:dyDescent="0.25">
      <c r="B39" s="321" t="s">
        <v>103</v>
      </c>
      <c r="C39" s="28" t="s">
        <v>10</v>
      </c>
      <c r="D39" s="312">
        <v>2</v>
      </c>
      <c r="E39" s="312"/>
      <c r="F39" s="312"/>
      <c r="G39" s="312"/>
      <c r="H39" s="313">
        <f>+H34</f>
        <v>2</v>
      </c>
      <c r="I39" s="312"/>
      <c r="J39" s="312">
        <f>+G32</f>
        <v>5</v>
      </c>
      <c r="K39" s="312">
        <f>+H39+(9-J39)/2</f>
        <v>4</v>
      </c>
      <c r="L39" s="315">
        <f>+K31</f>
        <v>5.0002000000000004</v>
      </c>
      <c r="M39" s="328">
        <f>+K39+(6-L39)/2</f>
        <v>4.4999000000000002</v>
      </c>
      <c r="Q39">
        <v>8</v>
      </c>
      <c r="R39">
        <f t="shared" si="28"/>
        <v>0.20000000000000015</v>
      </c>
    </row>
    <row r="40" spans="1:18" x14ac:dyDescent="0.25">
      <c r="A40" s="1"/>
      <c r="B40" s="316"/>
      <c r="C40" s="40"/>
      <c r="D40" s="312"/>
      <c r="E40" s="312"/>
      <c r="F40" s="312"/>
      <c r="G40" s="312"/>
      <c r="H40" s="40"/>
      <c r="I40" s="312"/>
      <c r="J40" s="312"/>
      <c r="K40" s="312"/>
      <c r="L40" s="314"/>
      <c r="M40" s="115"/>
      <c r="Q40">
        <v>9</v>
      </c>
      <c r="R40">
        <f t="shared" si="28"/>
        <v>0.10000000000000014</v>
      </c>
    </row>
    <row r="41" spans="1:18" x14ac:dyDescent="0.25">
      <c r="B41" s="316" t="s">
        <v>1</v>
      </c>
      <c r="C41" s="28" t="s">
        <v>9</v>
      </c>
      <c r="D41" s="312">
        <v>2</v>
      </c>
      <c r="E41" s="312"/>
      <c r="F41" s="312"/>
      <c r="G41" s="312"/>
      <c r="H41" s="313">
        <f>+H34</f>
        <v>2</v>
      </c>
      <c r="I41" s="312"/>
      <c r="J41" s="312"/>
      <c r="K41" s="312">
        <f>+H41</f>
        <v>2</v>
      </c>
      <c r="L41" s="314"/>
      <c r="M41" s="114">
        <f>+K41</f>
        <v>2</v>
      </c>
    </row>
    <row r="42" spans="1:18" x14ac:dyDescent="0.25">
      <c r="B42" s="321" t="s">
        <v>104</v>
      </c>
      <c r="C42" s="28" t="s">
        <v>6</v>
      </c>
      <c r="D42" s="312">
        <v>8</v>
      </c>
      <c r="E42" s="312">
        <f>+D31</f>
        <v>5</v>
      </c>
      <c r="F42" s="312"/>
      <c r="G42" s="312"/>
      <c r="H42" s="313">
        <f>+E42+H34</f>
        <v>7</v>
      </c>
      <c r="I42" s="312">
        <f>+G31</f>
        <v>5</v>
      </c>
      <c r="J42" s="312"/>
      <c r="K42" s="312">
        <f>+H42-(9-I42)/2</f>
        <v>5</v>
      </c>
      <c r="L42" s="314"/>
      <c r="M42" s="114">
        <f>+K42</f>
        <v>5</v>
      </c>
    </row>
    <row r="43" spans="1:18" x14ac:dyDescent="0.25">
      <c r="B43" s="321" t="s">
        <v>102</v>
      </c>
      <c r="C43" s="28" t="s">
        <v>7</v>
      </c>
      <c r="D43" s="312">
        <v>2</v>
      </c>
      <c r="E43" s="312"/>
      <c r="F43" s="312"/>
      <c r="G43" s="312"/>
      <c r="H43" s="313">
        <f>+H34</f>
        <v>2</v>
      </c>
      <c r="I43" s="312">
        <f>+G31</f>
        <v>5</v>
      </c>
      <c r="J43" s="312"/>
      <c r="K43" s="312">
        <f>+H43+(9-I43)/2</f>
        <v>4</v>
      </c>
      <c r="L43" s="315">
        <f>+K31</f>
        <v>5.0002000000000004</v>
      </c>
      <c r="M43" s="114">
        <f>+K43-(6-L43)/2</f>
        <v>3.5001000000000002</v>
      </c>
    </row>
    <row r="44" spans="1:18" ht="15.75" thickBot="1" x14ac:dyDescent="0.3">
      <c r="B44" s="322" t="s">
        <v>103</v>
      </c>
      <c r="C44" s="323" t="s">
        <v>10</v>
      </c>
      <c r="D44" s="324">
        <v>8</v>
      </c>
      <c r="E44" s="324"/>
      <c r="F44" s="324"/>
      <c r="G44" s="324">
        <f>+D33</f>
        <v>5</v>
      </c>
      <c r="H44" s="325">
        <f>+G44+H34</f>
        <v>7</v>
      </c>
      <c r="I44" s="324"/>
      <c r="J44" s="324"/>
      <c r="K44" s="325">
        <f>+H44</f>
        <v>7</v>
      </c>
      <c r="L44" s="326">
        <f>+K31</f>
        <v>5.0002000000000004</v>
      </c>
      <c r="M44" s="116">
        <f>+K44+(6-L44)/2</f>
        <v>7.4999000000000002</v>
      </c>
    </row>
    <row r="47" spans="1:18" x14ac:dyDescent="0.25">
      <c r="C47" s="132" t="s">
        <v>4</v>
      </c>
      <c r="D47" s="130">
        <v>1</v>
      </c>
      <c r="E47" s="130">
        <v>2</v>
      </c>
      <c r="F47" s="130">
        <v>3</v>
      </c>
      <c r="G47" s="130">
        <v>4</v>
      </c>
      <c r="H47" s="130">
        <v>5</v>
      </c>
      <c r="I47" s="130">
        <v>6</v>
      </c>
      <c r="J47" s="130">
        <v>7</v>
      </c>
    </row>
    <row r="48" spans="1:18" x14ac:dyDescent="0.25">
      <c r="C48" s="27" t="s">
        <v>9</v>
      </c>
      <c r="D48" s="131">
        <f>IF($K$17=D$47,$M36,0)</f>
        <v>0</v>
      </c>
      <c r="E48" s="131">
        <f t="shared" ref="E48:J48" si="29">IF($K$17=E$47,$M36,0)</f>
        <v>0</v>
      </c>
      <c r="F48" s="131">
        <f t="shared" si="29"/>
        <v>0</v>
      </c>
      <c r="G48" s="131">
        <f t="shared" si="29"/>
        <v>0</v>
      </c>
      <c r="H48" s="131">
        <f t="shared" si="29"/>
        <v>0</v>
      </c>
      <c r="I48" s="131">
        <f t="shared" si="29"/>
        <v>0</v>
      </c>
      <c r="J48" s="131">
        <f t="shared" si="29"/>
        <v>2</v>
      </c>
    </row>
    <row r="49" spans="3:13" x14ac:dyDescent="0.25">
      <c r="C49" s="27" t="s">
        <v>6</v>
      </c>
      <c r="D49" s="131">
        <f>IF($K$26=D$47,$M37,0)</f>
        <v>0</v>
      </c>
      <c r="E49" s="131">
        <f t="shared" ref="E49:J49" si="30">IF($K$26=E$47,$M37,0)</f>
        <v>0</v>
      </c>
      <c r="F49" s="131">
        <f t="shared" si="30"/>
        <v>0</v>
      </c>
      <c r="G49" s="131">
        <f t="shared" si="30"/>
        <v>0</v>
      </c>
      <c r="H49" s="131">
        <f t="shared" si="30"/>
        <v>0</v>
      </c>
      <c r="I49" s="131">
        <f t="shared" si="30"/>
        <v>5</v>
      </c>
      <c r="J49" s="131">
        <f t="shared" si="30"/>
        <v>0</v>
      </c>
    </row>
    <row r="50" spans="3:13" x14ac:dyDescent="0.25">
      <c r="C50" s="27" t="s">
        <v>7</v>
      </c>
      <c r="D50" s="131">
        <f>IF($K$27=D$47,$M38,0)</f>
        <v>0</v>
      </c>
      <c r="E50" s="131">
        <f t="shared" ref="E50:J50" si="31">IF($K$27=E$47,$M38,0)</f>
        <v>0</v>
      </c>
      <c r="F50" s="131">
        <f t="shared" si="31"/>
        <v>0</v>
      </c>
      <c r="G50" s="131">
        <f t="shared" si="31"/>
        <v>0</v>
      </c>
      <c r="H50" s="131">
        <f t="shared" si="31"/>
        <v>6.5000999999999998</v>
      </c>
      <c r="I50" s="131">
        <f t="shared" si="31"/>
        <v>0</v>
      </c>
      <c r="J50" s="131">
        <f t="shared" si="31"/>
        <v>0</v>
      </c>
    </row>
    <row r="51" spans="3:13" x14ac:dyDescent="0.25">
      <c r="C51" s="132" t="s">
        <v>10</v>
      </c>
      <c r="D51" s="131">
        <f>IF($L$31=D$47,$M39,0)</f>
        <v>0</v>
      </c>
      <c r="E51" s="131">
        <f t="shared" ref="E51:J51" si="32">IF($L$31=E$47,$M39,0)</f>
        <v>0</v>
      </c>
      <c r="F51" s="131">
        <f t="shared" si="32"/>
        <v>4.4999000000000002</v>
      </c>
      <c r="G51" s="131">
        <f t="shared" si="32"/>
        <v>0</v>
      </c>
      <c r="H51" s="131">
        <f t="shared" si="32"/>
        <v>0</v>
      </c>
      <c r="I51" s="131">
        <f t="shared" si="32"/>
        <v>0</v>
      </c>
      <c r="J51" s="131">
        <f t="shared" si="32"/>
        <v>0</v>
      </c>
    </row>
    <row r="52" spans="3:13" x14ac:dyDescent="0.25">
      <c r="C52" s="118"/>
      <c r="D52" s="119">
        <f>SUM(D48:D51)</f>
        <v>0</v>
      </c>
      <c r="E52" s="119">
        <f t="shared" ref="E52:J52" si="33">SUM(E48:E51)</f>
        <v>0</v>
      </c>
      <c r="F52" s="119">
        <f t="shared" si="33"/>
        <v>4.4999000000000002</v>
      </c>
      <c r="G52" s="119">
        <f t="shared" si="33"/>
        <v>0</v>
      </c>
      <c r="H52" s="119">
        <f t="shared" si="33"/>
        <v>6.5000999999999998</v>
      </c>
      <c r="I52" s="119">
        <f t="shared" si="33"/>
        <v>5</v>
      </c>
      <c r="J52" s="119">
        <f t="shared" si="33"/>
        <v>2</v>
      </c>
    </row>
    <row r="53" spans="3:13" x14ac:dyDescent="0.25">
      <c r="C53" s="132" t="s">
        <v>5</v>
      </c>
      <c r="D53" s="130">
        <v>1</v>
      </c>
      <c r="E53" s="130">
        <v>2</v>
      </c>
      <c r="F53" s="130">
        <v>3</v>
      </c>
      <c r="G53" s="130">
        <v>4</v>
      </c>
      <c r="H53" s="130">
        <v>5</v>
      </c>
      <c r="I53" s="130">
        <v>6</v>
      </c>
      <c r="J53" s="130">
        <v>7</v>
      </c>
    </row>
    <row r="54" spans="3:13" x14ac:dyDescent="0.25">
      <c r="C54" s="27" t="s">
        <v>9</v>
      </c>
      <c r="D54" s="131">
        <f>IF($K$17=D$47,$M41,0)</f>
        <v>0</v>
      </c>
      <c r="E54" s="131">
        <f t="shared" ref="E54:J54" si="34">IF($K$17=E$47,$M41,0)</f>
        <v>0</v>
      </c>
      <c r="F54" s="131">
        <f t="shared" si="34"/>
        <v>0</v>
      </c>
      <c r="G54" s="131">
        <f t="shared" si="34"/>
        <v>0</v>
      </c>
      <c r="H54" s="131">
        <f t="shared" si="34"/>
        <v>0</v>
      </c>
      <c r="I54" s="131">
        <f t="shared" si="34"/>
        <v>0</v>
      </c>
      <c r="J54" s="131">
        <f t="shared" si="34"/>
        <v>2</v>
      </c>
    </row>
    <row r="55" spans="3:13" x14ac:dyDescent="0.25">
      <c r="C55" s="27" t="s">
        <v>6</v>
      </c>
      <c r="D55" s="131">
        <f>IF($K$26=D$47,$M42,0)</f>
        <v>0</v>
      </c>
      <c r="E55" s="131">
        <f t="shared" ref="E55:J55" si="35">IF($K$26=E$47,$M42,0)</f>
        <v>0</v>
      </c>
      <c r="F55" s="131">
        <f t="shared" si="35"/>
        <v>0</v>
      </c>
      <c r="G55" s="131">
        <f t="shared" si="35"/>
        <v>0</v>
      </c>
      <c r="H55" s="131">
        <f t="shared" si="35"/>
        <v>0</v>
      </c>
      <c r="I55" s="131">
        <f t="shared" si="35"/>
        <v>5</v>
      </c>
      <c r="J55" s="131">
        <f t="shared" si="35"/>
        <v>0</v>
      </c>
    </row>
    <row r="56" spans="3:13" x14ac:dyDescent="0.25">
      <c r="C56" s="27" t="s">
        <v>7</v>
      </c>
      <c r="D56" s="131">
        <f>IF($K$27=D$47,$M43,0)</f>
        <v>0</v>
      </c>
      <c r="E56" s="131">
        <f t="shared" ref="E56:J56" si="36">IF($K$27=E$47,$M43,0)</f>
        <v>0</v>
      </c>
      <c r="F56" s="131">
        <f t="shared" si="36"/>
        <v>0</v>
      </c>
      <c r="G56" s="131">
        <f t="shared" si="36"/>
        <v>0</v>
      </c>
      <c r="H56" s="131">
        <f t="shared" si="36"/>
        <v>3.5001000000000002</v>
      </c>
      <c r="I56" s="131">
        <f t="shared" si="36"/>
        <v>0</v>
      </c>
      <c r="J56" s="131">
        <f t="shared" si="36"/>
        <v>0</v>
      </c>
    </row>
    <row r="57" spans="3:13" ht="15.75" thickBot="1" x14ac:dyDescent="0.3">
      <c r="C57" s="132" t="s">
        <v>10</v>
      </c>
      <c r="D57" s="131">
        <f>IF($L$31=D$47,$M44,0)</f>
        <v>0</v>
      </c>
      <c r="E57" s="131">
        <f t="shared" ref="E57:J57" si="37">IF($L$31=E$47,$M44,0)</f>
        <v>0</v>
      </c>
      <c r="F57" s="131">
        <f t="shared" si="37"/>
        <v>7.4999000000000002</v>
      </c>
      <c r="G57" s="131">
        <f t="shared" si="37"/>
        <v>0</v>
      </c>
      <c r="H57" s="131">
        <f t="shared" si="37"/>
        <v>0</v>
      </c>
      <c r="I57" s="131">
        <f t="shared" si="37"/>
        <v>0</v>
      </c>
      <c r="J57" s="131">
        <f t="shared" si="37"/>
        <v>0</v>
      </c>
    </row>
    <row r="58" spans="3:13" ht="15.75" thickBot="1" x14ac:dyDescent="0.3">
      <c r="C58" s="133"/>
      <c r="D58" s="120">
        <f>SUM(D54:D57)</f>
        <v>0</v>
      </c>
      <c r="E58" s="120">
        <f t="shared" ref="E58:J58" si="38">SUM(E54:E57)</f>
        <v>0</v>
      </c>
      <c r="F58" s="120">
        <f t="shared" si="38"/>
        <v>7.4999000000000002</v>
      </c>
      <c r="G58" s="120">
        <f t="shared" si="38"/>
        <v>0</v>
      </c>
      <c r="H58" s="120">
        <f t="shared" si="38"/>
        <v>3.5001000000000002</v>
      </c>
      <c r="I58" s="120">
        <f t="shared" si="38"/>
        <v>5</v>
      </c>
      <c r="J58" s="120">
        <f t="shared" si="38"/>
        <v>2</v>
      </c>
      <c r="L58" s="125" t="s">
        <v>106</v>
      </c>
    </row>
    <row r="59" spans="3:13" ht="15.75" thickBot="1" x14ac:dyDescent="0.3">
      <c r="C59" s="28" t="s">
        <v>106</v>
      </c>
      <c r="D59" s="121">
        <f>IF(D58=0,D53,0)</f>
        <v>1</v>
      </c>
      <c r="E59" s="122">
        <f t="shared" ref="E59:J59" si="39">IF(E58=0,E53,0)</f>
        <v>2</v>
      </c>
      <c r="F59" s="122">
        <f t="shared" si="39"/>
        <v>0</v>
      </c>
      <c r="G59" s="122">
        <f t="shared" si="39"/>
        <v>4</v>
      </c>
      <c r="H59" s="122">
        <f t="shared" si="39"/>
        <v>0</v>
      </c>
      <c r="I59" s="122">
        <f t="shared" si="39"/>
        <v>0</v>
      </c>
      <c r="J59" s="123">
        <f t="shared" si="39"/>
        <v>0</v>
      </c>
      <c r="L59" s="126">
        <f>MEDIAN(D62:J62)</f>
        <v>2</v>
      </c>
      <c r="M59">
        <f>IF(L59&lt;&gt;L$65,L59,0)</f>
        <v>2</v>
      </c>
    </row>
    <row r="60" spans="3:13" x14ac:dyDescent="0.25">
      <c r="C60" s="28"/>
      <c r="D60" s="2"/>
      <c r="E60" s="2"/>
      <c r="F60" s="2"/>
      <c r="G60" s="2"/>
      <c r="H60" s="2"/>
      <c r="I60" s="2"/>
      <c r="J60" s="2"/>
      <c r="L60" s="126">
        <f>MIN(D62:J62)</f>
        <v>1</v>
      </c>
      <c r="M60">
        <f t="shared" ref="M60:M61" si="40">IF(L60&lt;&gt;L$65,L60,0)</f>
        <v>0</v>
      </c>
    </row>
    <row r="61" spans="3:13" ht="15.75" thickBot="1" x14ac:dyDescent="0.3">
      <c r="C61" s="28"/>
      <c r="D61" s="2">
        <f>IF(D59&gt;0,D59,"  ")</f>
        <v>1</v>
      </c>
      <c r="E61" s="2">
        <f t="shared" ref="E61:J61" si="41">IF(E59&gt;0,E59,"  ")</f>
        <v>2</v>
      </c>
      <c r="F61" s="2" t="str">
        <f t="shared" si="41"/>
        <v xml:space="preserve">  </v>
      </c>
      <c r="G61" s="2">
        <f t="shared" si="41"/>
        <v>4</v>
      </c>
      <c r="H61" s="2" t="str">
        <f t="shared" si="41"/>
        <v xml:space="preserve">  </v>
      </c>
      <c r="I61" s="2" t="str">
        <f t="shared" si="41"/>
        <v xml:space="preserve">  </v>
      </c>
      <c r="J61" s="2" t="str">
        <f t="shared" si="41"/>
        <v xml:space="preserve">  </v>
      </c>
      <c r="L61" s="127">
        <f>MAX(D62:J62)</f>
        <v>4</v>
      </c>
      <c r="M61">
        <f t="shared" si="40"/>
        <v>4</v>
      </c>
    </row>
    <row r="62" spans="3:13" x14ac:dyDescent="0.25">
      <c r="C62" s="28"/>
      <c r="D62" s="2">
        <f>IF(D61=$N59," ",D61)</f>
        <v>1</v>
      </c>
      <c r="E62" s="2">
        <f t="shared" ref="E62:J62" si="42">IF(E61=$N59," ",E61)</f>
        <v>2</v>
      </c>
      <c r="F62" s="2" t="str">
        <f t="shared" si="42"/>
        <v xml:space="preserve">  </v>
      </c>
      <c r="G62" s="2">
        <f t="shared" si="42"/>
        <v>4</v>
      </c>
      <c r="H62" s="2" t="str">
        <f t="shared" si="42"/>
        <v xml:space="preserve">  </v>
      </c>
      <c r="I62" s="2" t="str">
        <f t="shared" si="42"/>
        <v xml:space="preserve">  </v>
      </c>
      <c r="J62" s="2" t="str">
        <f t="shared" si="42"/>
        <v xml:space="preserve">  </v>
      </c>
    </row>
    <row r="63" spans="3:13" x14ac:dyDescent="0.25">
      <c r="C63" s="28"/>
      <c r="D63" s="2">
        <f>IF(D59&gt;0,D12,0)</f>
        <v>30.001000000000001</v>
      </c>
      <c r="E63" s="2">
        <f t="shared" ref="E63:J63" si="43">IF(E59&gt;0,E12,0)</f>
        <v>30.001999999999999</v>
      </c>
      <c r="F63" s="2">
        <f t="shared" si="43"/>
        <v>0</v>
      </c>
      <c r="G63" s="2">
        <f t="shared" si="43"/>
        <v>30.004000000000001</v>
      </c>
      <c r="H63" s="2">
        <f t="shared" si="43"/>
        <v>0</v>
      </c>
      <c r="I63" s="2">
        <f t="shared" si="43"/>
        <v>0</v>
      </c>
      <c r="J63" s="2">
        <f t="shared" si="43"/>
        <v>0</v>
      </c>
      <c r="M63">
        <f>MAX(M59:M61)</f>
        <v>4</v>
      </c>
    </row>
    <row r="64" spans="3:13" x14ac:dyDescent="0.25">
      <c r="C64" s="28"/>
      <c r="D64" s="2">
        <f>RANK(D63,$D63:$J63)</f>
        <v>3</v>
      </c>
      <c r="E64" s="2">
        <f t="shared" ref="E64:J64" si="44">RANK(E63,$D63:$J63)</f>
        <v>2</v>
      </c>
      <c r="F64" s="2">
        <f t="shared" si="44"/>
        <v>4</v>
      </c>
      <c r="G64" s="2">
        <f t="shared" si="44"/>
        <v>1</v>
      </c>
      <c r="H64" s="2">
        <f t="shared" si="44"/>
        <v>4</v>
      </c>
      <c r="I64" s="2">
        <f t="shared" si="44"/>
        <v>4</v>
      </c>
      <c r="J64" s="2">
        <f t="shared" si="44"/>
        <v>4</v>
      </c>
      <c r="M64">
        <f>SUM(M59:M61)-M63</f>
        <v>2</v>
      </c>
    </row>
    <row r="65" spans="1:17" x14ac:dyDescent="0.25">
      <c r="C65" s="28"/>
      <c r="D65" s="2">
        <f>IF(D64=3,D2,0)</f>
        <v>1</v>
      </c>
      <c r="E65" s="2">
        <f t="shared" ref="E65:J65" si="45">IF(E64=3,E2,0)</f>
        <v>0</v>
      </c>
      <c r="F65" s="2">
        <f t="shared" si="45"/>
        <v>0</v>
      </c>
      <c r="G65" s="2">
        <f t="shared" si="45"/>
        <v>0</v>
      </c>
      <c r="H65" s="2">
        <f t="shared" si="45"/>
        <v>0</v>
      </c>
      <c r="I65" s="2">
        <f t="shared" si="45"/>
        <v>0</v>
      </c>
      <c r="J65" s="2">
        <f t="shared" si="45"/>
        <v>0</v>
      </c>
      <c r="L65" s="38">
        <f>SUM(D65:J65)</f>
        <v>1</v>
      </c>
    </row>
    <row r="66" spans="1:17" x14ac:dyDescent="0.25">
      <c r="C66" s="28"/>
      <c r="D66" s="2"/>
      <c r="E66" s="2"/>
      <c r="F66" s="2"/>
      <c r="G66" s="2"/>
      <c r="H66" s="2"/>
      <c r="I66" s="2"/>
      <c r="J66" s="2"/>
    </row>
    <row r="67" spans="1:17" x14ac:dyDescent="0.25">
      <c r="C67" s="28"/>
      <c r="D67" s="2">
        <f>+D2</f>
        <v>1</v>
      </c>
      <c r="E67" s="2">
        <f t="shared" ref="E67:J67" si="46">+E2</f>
        <v>2</v>
      </c>
      <c r="F67" s="2">
        <f t="shared" si="46"/>
        <v>3</v>
      </c>
      <c r="G67" s="2">
        <f t="shared" si="46"/>
        <v>4</v>
      </c>
      <c r="H67" s="2">
        <f t="shared" si="46"/>
        <v>5</v>
      </c>
      <c r="I67" s="2">
        <f t="shared" si="46"/>
        <v>6</v>
      </c>
      <c r="J67" s="2">
        <f t="shared" si="46"/>
        <v>7</v>
      </c>
    </row>
    <row r="68" spans="1:17" x14ac:dyDescent="0.25">
      <c r="D68">
        <f>IF(D14=7,D67,0)</f>
        <v>1</v>
      </c>
      <c r="E68">
        <f t="shared" ref="E68:J68" si="47">IF(E14=7,E67,0)</f>
        <v>0</v>
      </c>
      <c r="F68">
        <f t="shared" si="47"/>
        <v>0</v>
      </c>
      <c r="G68">
        <f t="shared" si="47"/>
        <v>0</v>
      </c>
      <c r="H68">
        <f t="shared" si="47"/>
        <v>0</v>
      </c>
      <c r="I68">
        <f t="shared" si="47"/>
        <v>0</v>
      </c>
      <c r="J68">
        <f t="shared" si="47"/>
        <v>0</v>
      </c>
      <c r="L68">
        <f>SUM(D68:J68)</f>
        <v>1</v>
      </c>
    </row>
    <row r="69" spans="1:17" x14ac:dyDescent="0.25">
      <c r="A69" s="118"/>
      <c r="B69" s="118"/>
      <c r="C69" s="118"/>
      <c r="D69" s="118"/>
      <c r="E69" s="118"/>
      <c r="F69" s="118"/>
      <c r="G69" s="118"/>
      <c r="H69" s="118"/>
      <c r="I69" s="118"/>
      <c r="J69" s="118"/>
      <c r="K69" s="118"/>
      <c r="L69" s="118"/>
      <c r="M69" s="118"/>
      <c r="N69" s="118"/>
      <c r="O69" s="118"/>
      <c r="P69" s="118"/>
      <c r="Q69" s="118"/>
    </row>
    <row r="70" spans="1:17" x14ac:dyDescent="0.25">
      <c r="C70" t="s">
        <v>17</v>
      </c>
      <c r="D70">
        <f t="shared" ref="D70:J70" si="48">IF(D14=5,D2,0)</f>
        <v>0</v>
      </c>
      <c r="E70">
        <f t="shared" si="48"/>
        <v>0</v>
      </c>
      <c r="F70">
        <f t="shared" si="48"/>
        <v>3</v>
      </c>
      <c r="G70">
        <f t="shared" si="48"/>
        <v>0</v>
      </c>
      <c r="H70">
        <f t="shared" si="48"/>
        <v>0</v>
      </c>
      <c r="I70">
        <f t="shared" si="48"/>
        <v>0</v>
      </c>
      <c r="J70">
        <f t="shared" si="48"/>
        <v>0</v>
      </c>
      <c r="K70" s="124">
        <f>+L65</f>
        <v>1</v>
      </c>
    </row>
    <row r="71" spans="1:17" x14ac:dyDescent="0.25">
      <c r="C71" s="1"/>
    </row>
    <row r="72" spans="1:17" x14ac:dyDescent="0.25">
      <c r="B72" s="33" t="s">
        <v>19</v>
      </c>
      <c r="C72" s="1">
        <f>VLOOKUP(K17,brand_data,K70+2)</f>
        <v>5</v>
      </c>
      <c r="D72" s="2">
        <f>LOOKUP(C72,weights)</f>
        <v>20</v>
      </c>
      <c r="E72" s="36">
        <f>+D72/D$76</f>
        <v>0.25</v>
      </c>
      <c r="N72" s="4">
        <v>1</v>
      </c>
      <c r="O72" s="130">
        <v>100</v>
      </c>
    </row>
    <row r="73" spans="1:17" x14ac:dyDescent="0.25">
      <c r="B73" s="32" t="s">
        <v>20</v>
      </c>
      <c r="C73" s="1">
        <f>VLOOKUP(K26,brand_data,K70+2)</f>
        <v>5</v>
      </c>
      <c r="D73" s="2">
        <f>LOOKUP(C73,weights)</f>
        <v>20</v>
      </c>
      <c r="E73" s="36">
        <f>+D73/D$76</f>
        <v>0.25</v>
      </c>
      <c r="N73" s="4">
        <v>2</v>
      </c>
      <c r="O73" s="130">
        <v>80</v>
      </c>
    </row>
    <row r="74" spans="1:17" x14ac:dyDescent="0.25">
      <c r="B74" s="33" t="s">
        <v>21</v>
      </c>
      <c r="C74">
        <f>VLOOKUP(K27,brand_data,K70+2)</f>
        <v>5</v>
      </c>
      <c r="D74" s="2">
        <f>LOOKUP(C74,weights)</f>
        <v>20</v>
      </c>
      <c r="E74" s="36">
        <f>+D74/D$76</f>
        <v>0.25</v>
      </c>
      <c r="N74" s="4">
        <v>3</v>
      </c>
      <c r="O74" s="130">
        <v>60</v>
      </c>
    </row>
    <row r="75" spans="1:17" x14ac:dyDescent="0.25">
      <c r="B75" s="32" t="s">
        <v>22</v>
      </c>
      <c r="C75">
        <f>VLOOKUP(L31,brand_data,K70+2)</f>
        <v>5</v>
      </c>
      <c r="D75" s="2">
        <f>LOOKUP(C75,weights)</f>
        <v>20</v>
      </c>
      <c r="E75" s="36">
        <f>+D75/D$76</f>
        <v>0.25</v>
      </c>
      <c r="N75" s="4">
        <v>4</v>
      </c>
      <c r="O75" s="130">
        <v>40</v>
      </c>
    </row>
    <row r="76" spans="1:17" x14ac:dyDescent="0.25">
      <c r="D76" s="38">
        <f>SUM(D72:D75)</f>
        <v>80</v>
      </c>
      <c r="N76" s="4">
        <v>5</v>
      </c>
      <c r="O76" s="130">
        <v>20</v>
      </c>
    </row>
    <row r="77" spans="1:17" x14ac:dyDescent="0.25">
      <c r="B77" s="1"/>
      <c r="N77" s="4">
        <v>6</v>
      </c>
      <c r="O77" s="130">
        <v>10</v>
      </c>
    </row>
    <row r="78" spans="1:17" x14ac:dyDescent="0.25">
      <c r="C78" s="1" t="s">
        <v>11</v>
      </c>
      <c r="D78" s="2">
        <f t="shared" ref="D78:J78" si="49">+$E$72*D48</f>
        <v>0</v>
      </c>
      <c r="E78" s="2">
        <f t="shared" si="49"/>
        <v>0</v>
      </c>
      <c r="F78" s="2">
        <f t="shared" si="49"/>
        <v>0</v>
      </c>
      <c r="G78" s="2">
        <f t="shared" si="49"/>
        <v>0</v>
      </c>
      <c r="H78" s="2">
        <f t="shared" si="49"/>
        <v>0</v>
      </c>
      <c r="I78" s="2">
        <f t="shared" si="49"/>
        <v>0</v>
      </c>
      <c r="J78" s="2">
        <f t="shared" si="49"/>
        <v>0.5</v>
      </c>
      <c r="N78" s="4">
        <v>7</v>
      </c>
      <c r="O78" s="130">
        <v>5</v>
      </c>
    </row>
    <row r="79" spans="1:17" x14ac:dyDescent="0.25">
      <c r="C79" s="1" t="s">
        <v>12</v>
      </c>
      <c r="D79" s="2">
        <f t="shared" ref="D79:J79" si="50">+$E$73*D49</f>
        <v>0</v>
      </c>
      <c r="E79" s="2">
        <f t="shared" si="50"/>
        <v>0</v>
      </c>
      <c r="F79" s="2">
        <f t="shared" si="50"/>
        <v>0</v>
      </c>
      <c r="G79" s="2">
        <f t="shared" si="50"/>
        <v>0</v>
      </c>
      <c r="H79" s="2">
        <f t="shared" si="50"/>
        <v>0</v>
      </c>
      <c r="I79" s="2">
        <f t="shared" si="50"/>
        <v>1.25</v>
      </c>
      <c r="J79" s="2">
        <f t="shared" si="50"/>
        <v>0</v>
      </c>
      <c r="N79" s="4">
        <v>8</v>
      </c>
      <c r="O79" s="130">
        <v>5</v>
      </c>
    </row>
    <row r="80" spans="1:17" x14ac:dyDescent="0.25">
      <c r="C80" s="1" t="s">
        <v>13</v>
      </c>
      <c r="D80" s="2">
        <f t="shared" ref="D80:J80" si="51">+$E$74*D50</f>
        <v>0</v>
      </c>
      <c r="E80" s="2">
        <f t="shared" si="51"/>
        <v>0</v>
      </c>
      <c r="F80" s="2">
        <f t="shared" si="51"/>
        <v>0</v>
      </c>
      <c r="G80" s="2">
        <f t="shared" si="51"/>
        <v>0</v>
      </c>
      <c r="H80" s="2">
        <f t="shared" si="51"/>
        <v>1.6250249999999999</v>
      </c>
      <c r="I80" s="2">
        <f t="shared" si="51"/>
        <v>0</v>
      </c>
      <c r="J80" s="2">
        <f t="shared" si="51"/>
        <v>0</v>
      </c>
      <c r="N80" s="4">
        <v>9</v>
      </c>
      <c r="O80" s="130">
        <v>5</v>
      </c>
    </row>
    <row r="81" spans="2:11" x14ac:dyDescent="0.25">
      <c r="C81" s="1" t="s">
        <v>18</v>
      </c>
      <c r="D81" s="2">
        <f t="shared" ref="D81:J81" si="52">+$E$75*D51</f>
        <v>0</v>
      </c>
      <c r="E81" s="2">
        <f t="shared" si="52"/>
        <v>0</v>
      </c>
      <c r="F81" s="2">
        <f t="shared" si="52"/>
        <v>1.1249750000000001</v>
      </c>
      <c r="G81" s="2">
        <f t="shared" si="52"/>
        <v>0</v>
      </c>
      <c r="H81" s="2">
        <f t="shared" si="52"/>
        <v>0</v>
      </c>
      <c r="I81" s="2">
        <f t="shared" si="52"/>
        <v>0</v>
      </c>
      <c r="J81" s="2">
        <f t="shared" si="52"/>
        <v>0</v>
      </c>
      <c r="K81" s="38">
        <f>SUM(D78:J81)</f>
        <v>4.5</v>
      </c>
    </row>
    <row r="83" spans="2:11" x14ac:dyDescent="0.25">
      <c r="C83" s="1" t="s">
        <v>14</v>
      </c>
      <c r="D83" s="2">
        <f t="shared" ref="D83:J83" si="53">+$E$72*D54</f>
        <v>0</v>
      </c>
      <c r="E83" s="2">
        <f t="shared" si="53"/>
        <v>0</v>
      </c>
      <c r="F83" s="2">
        <f t="shared" si="53"/>
        <v>0</v>
      </c>
      <c r="G83" s="2">
        <f t="shared" si="53"/>
        <v>0</v>
      </c>
      <c r="H83" s="2">
        <f t="shared" si="53"/>
        <v>0</v>
      </c>
      <c r="I83" s="2">
        <f t="shared" si="53"/>
        <v>0</v>
      </c>
      <c r="J83" s="2">
        <f t="shared" si="53"/>
        <v>0.5</v>
      </c>
      <c r="K83" s="2"/>
    </row>
    <row r="84" spans="2:11" x14ac:dyDescent="0.25">
      <c r="C84" s="1" t="s">
        <v>15</v>
      </c>
      <c r="D84" s="2">
        <f t="shared" ref="D84:J84" si="54">+$E$73*D55</f>
        <v>0</v>
      </c>
      <c r="E84" s="2">
        <f t="shared" si="54"/>
        <v>0</v>
      </c>
      <c r="F84" s="2">
        <f t="shared" si="54"/>
        <v>0</v>
      </c>
      <c r="G84" s="2">
        <f t="shared" si="54"/>
        <v>0</v>
      </c>
      <c r="H84" s="2">
        <f t="shared" si="54"/>
        <v>0</v>
      </c>
      <c r="I84" s="2">
        <f t="shared" si="54"/>
        <v>1.25</v>
      </c>
      <c r="J84" s="2">
        <f t="shared" si="54"/>
        <v>0</v>
      </c>
      <c r="K84" s="2"/>
    </row>
    <row r="85" spans="2:11" x14ac:dyDescent="0.25">
      <c r="C85" s="1" t="s">
        <v>16</v>
      </c>
      <c r="D85" s="2">
        <f t="shared" ref="D85:J85" si="55">+$E$74*D56</f>
        <v>0</v>
      </c>
      <c r="E85" s="2">
        <f t="shared" si="55"/>
        <v>0</v>
      </c>
      <c r="F85" s="2">
        <f t="shared" si="55"/>
        <v>0</v>
      </c>
      <c r="G85" s="2">
        <f t="shared" si="55"/>
        <v>0</v>
      </c>
      <c r="H85" s="2">
        <f t="shared" si="55"/>
        <v>0.87502500000000005</v>
      </c>
      <c r="I85" s="2">
        <f t="shared" si="55"/>
        <v>0</v>
      </c>
      <c r="J85" s="2">
        <f t="shared" si="55"/>
        <v>0</v>
      </c>
      <c r="K85" s="2"/>
    </row>
    <row r="86" spans="2:11" x14ac:dyDescent="0.25">
      <c r="C86" s="1" t="s">
        <v>23</v>
      </c>
      <c r="D86" s="2">
        <f t="shared" ref="D86:J86" si="56">+$E$75*D57</f>
        <v>0</v>
      </c>
      <c r="E86" s="2">
        <f t="shared" si="56"/>
        <v>0</v>
      </c>
      <c r="F86" s="2">
        <f t="shared" si="56"/>
        <v>1.8749750000000001</v>
      </c>
      <c r="G86" s="2">
        <f t="shared" si="56"/>
        <v>0</v>
      </c>
      <c r="H86" s="2">
        <f t="shared" si="56"/>
        <v>0</v>
      </c>
      <c r="I86" s="2">
        <f t="shared" si="56"/>
        <v>0</v>
      </c>
      <c r="J86" s="2">
        <f t="shared" si="56"/>
        <v>0</v>
      </c>
      <c r="K86" s="38">
        <f>SUM(D83:J86)</f>
        <v>4.5</v>
      </c>
    </row>
    <row r="88" spans="2:11" x14ac:dyDescent="0.25">
      <c r="B88" s="27" t="s">
        <v>17</v>
      </c>
      <c r="C88" s="27" t="s">
        <v>4</v>
      </c>
      <c r="D88" s="131">
        <f t="shared" ref="D88:J88" si="57">IF($K70=D2,$K81,0)</f>
        <v>4.5</v>
      </c>
      <c r="E88" s="131">
        <f t="shared" si="57"/>
        <v>0</v>
      </c>
      <c r="F88" s="131">
        <f t="shared" si="57"/>
        <v>0</v>
      </c>
      <c r="G88" s="131">
        <f t="shared" si="57"/>
        <v>0</v>
      </c>
      <c r="H88" s="131">
        <f t="shared" si="57"/>
        <v>0</v>
      </c>
      <c r="I88" s="131">
        <f t="shared" si="57"/>
        <v>0</v>
      </c>
      <c r="J88" s="131">
        <f t="shared" si="57"/>
        <v>0</v>
      </c>
    </row>
    <row r="89" spans="2:11" x14ac:dyDescent="0.25">
      <c r="B89" s="4"/>
      <c r="C89" s="27" t="s">
        <v>5</v>
      </c>
      <c r="D89" s="131">
        <f t="shared" ref="D89:J89" si="58">IF($K70=D2,$K86,0)</f>
        <v>4.5</v>
      </c>
      <c r="E89" s="131">
        <f t="shared" si="58"/>
        <v>0</v>
      </c>
      <c r="F89" s="131">
        <f t="shared" si="58"/>
        <v>0</v>
      </c>
      <c r="G89" s="131">
        <f t="shared" si="58"/>
        <v>0</v>
      </c>
      <c r="H89" s="131">
        <f t="shared" si="58"/>
        <v>0</v>
      </c>
      <c r="I89" s="131">
        <f t="shared" si="58"/>
        <v>0</v>
      </c>
      <c r="J89" s="131">
        <f t="shared" si="58"/>
        <v>0</v>
      </c>
    </row>
    <row r="91" spans="2:11" x14ac:dyDescent="0.25">
      <c r="D91" s="130">
        <v>1</v>
      </c>
      <c r="E91" s="130">
        <v>2</v>
      </c>
      <c r="F91" s="130">
        <v>3</v>
      </c>
      <c r="G91" s="130">
        <v>4</v>
      </c>
      <c r="H91" s="130">
        <v>5</v>
      </c>
      <c r="I91" s="130">
        <v>6</v>
      </c>
      <c r="J91" s="130">
        <v>7</v>
      </c>
    </row>
    <row r="92" spans="2:11" x14ac:dyDescent="0.25">
      <c r="C92" s="132" t="s">
        <v>4</v>
      </c>
      <c r="D92" s="37">
        <f t="shared" ref="D92:J92" si="59">+D88+D52</f>
        <v>4.5</v>
      </c>
      <c r="E92" s="37">
        <f t="shared" si="59"/>
        <v>0</v>
      </c>
      <c r="F92" s="37">
        <f t="shared" si="59"/>
        <v>4.4999000000000002</v>
      </c>
      <c r="G92" s="37">
        <f t="shared" si="59"/>
        <v>0</v>
      </c>
      <c r="H92" s="37">
        <f t="shared" si="59"/>
        <v>6.5000999999999998</v>
      </c>
      <c r="I92" s="37">
        <f t="shared" si="59"/>
        <v>5</v>
      </c>
      <c r="J92" s="37">
        <f t="shared" si="59"/>
        <v>2</v>
      </c>
    </row>
    <row r="93" spans="2:11" x14ac:dyDescent="0.25">
      <c r="C93" s="27" t="s">
        <v>5</v>
      </c>
      <c r="D93" s="37">
        <f t="shared" ref="D93:J93" si="60">+D89+D58</f>
        <v>4.5</v>
      </c>
      <c r="E93" s="37">
        <f t="shared" si="60"/>
        <v>0</v>
      </c>
      <c r="F93" s="37">
        <f t="shared" si="60"/>
        <v>7.4999000000000002</v>
      </c>
      <c r="G93" s="37">
        <f t="shared" si="60"/>
        <v>0</v>
      </c>
      <c r="H93" s="37">
        <f t="shared" si="60"/>
        <v>3.5001000000000002</v>
      </c>
      <c r="I93" s="37">
        <f t="shared" si="60"/>
        <v>5</v>
      </c>
      <c r="J93" s="37">
        <f t="shared" si="60"/>
        <v>2</v>
      </c>
    </row>
    <row r="98" spans="2:11" x14ac:dyDescent="0.25">
      <c r="C98" t="s">
        <v>24</v>
      </c>
      <c r="K98" s="124">
        <f>+M63</f>
        <v>4</v>
      </c>
    </row>
    <row r="100" spans="2:11" x14ac:dyDescent="0.25">
      <c r="B100" s="33" t="s">
        <v>25</v>
      </c>
      <c r="C100">
        <f>VLOOKUP(K17,brand_data,K98+2)</f>
        <v>5</v>
      </c>
      <c r="D100">
        <f>LOOKUP(C100,weights)</f>
        <v>20</v>
      </c>
      <c r="E100" s="39">
        <f>+D100/D$105</f>
        <v>0.2</v>
      </c>
    </row>
    <row r="101" spans="2:11" x14ac:dyDescent="0.25">
      <c r="B101" s="32" t="s">
        <v>26</v>
      </c>
      <c r="C101">
        <f>VLOOKUP(K26,brand_data,K98+2)</f>
        <v>5</v>
      </c>
      <c r="D101">
        <f>LOOKUP(C101,weights)</f>
        <v>20</v>
      </c>
      <c r="E101" s="39">
        <f>+D101/D$105</f>
        <v>0.2</v>
      </c>
    </row>
    <row r="102" spans="2:11" x14ac:dyDescent="0.25">
      <c r="B102" s="33" t="s">
        <v>27</v>
      </c>
      <c r="C102">
        <f>VLOOKUP(K27,brand_data,K98+2)</f>
        <v>5</v>
      </c>
      <c r="D102">
        <f>LOOKUP(C102,weights)</f>
        <v>20</v>
      </c>
      <c r="E102" s="39">
        <f>+D102/D$105</f>
        <v>0.2</v>
      </c>
    </row>
    <row r="103" spans="2:11" x14ac:dyDescent="0.25">
      <c r="B103" s="32" t="s">
        <v>28</v>
      </c>
      <c r="C103">
        <f>VLOOKUP(L31,brand_data,K98+2)</f>
        <v>5</v>
      </c>
      <c r="D103">
        <f>LOOKUP(C103,weights)</f>
        <v>20</v>
      </c>
      <c r="E103" s="39">
        <f>+D103/D$105</f>
        <v>0.2</v>
      </c>
    </row>
    <row r="104" spans="2:11" x14ac:dyDescent="0.25">
      <c r="B104" s="33" t="s">
        <v>29</v>
      </c>
      <c r="C104">
        <f>VLOOKUP(K70,brand_data,K98+2)</f>
        <v>5</v>
      </c>
      <c r="D104">
        <f>LOOKUP(C104,weights)</f>
        <v>20</v>
      </c>
      <c r="E104" s="39">
        <f>+D104/D$105</f>
        <v>0.2</v>
      </c>
    </row>
    <row r="105" spans="2:11" x14ac:dyDescent="0.25">
      <c r="D105">
        <f>SUM(D100:D104)</f>
        <v>100</v>
      </c>
    </row>
    <row r="107" spans="2:11" x14ac:dyDescent="0.25">
      <c r="C107" s="1" t="s">
        <v>11</v>
      </c>
      <c r="D107" s="2">
        <f t="shared" ref="D107:J107" si="61">+$E$100*D48</f>
        <v>0</v>
      </c>
      <c r="E107" s="2">
        <f t="shared" si="61"/>
        <v>0</v>
      </c>
      <c r="F107" s="2">
        <f t="shared" si="61"/>
        <v>0</v>
      </c>
      <c r="G107" s="2">
        <f t="shared" si="61"/>
        <v>0</v>
      </c>
      <c r="H107" s="2">
        <f t="shared" si="61"/>
        <v>0</v>
      </c>
      <c r="I107" s="2">
        <f t="shared" si="61"/>
        <v>0</v>
      </c>
      <c r="J107" s="2">
        <f t="shared" si="61"/>
        <v>0.4</v>
      </c>
    </row>
    <row r="108" spans="2:11" x14ac:dyDescent="0.25">
      <c r="C108" s="1" t="s">
        <v>12</v>
      </c>
      <c r="D108" s="2">
        <f t="shared" ref="D108:J108" si="62">+$E$101*D49</f>
        <v>0</v>
      </c>
      <c r="E108" s="2">
        <f t="shared" si="62"/>
        <v>0</v>
      </c>
      <c r="F108" s="2">
        <f t="shared" si="62"/>
        <v>0</v>
      </c>
      <c r="G108" s="2">
        <f t="shared" si="62"/>
        <v>0</v>
      </c>
      <c r="H108" s="2">
        <f t="shared" si="62"/>
        <v>0</v>
      </c>
      <c r="I108" s="2">
        <f t="shared" si="62"/>
        <v>1</v>
      </c>
      <c r="J108" s="2">
        <f t="shared" si="62"/>
        <v>0</v>
      </c>
    </row>
    <row r="109" spans="2:11" x14ac:dyDescent="0.25">
      <c r="C109" s="1" t="s">
        <v>13</v>
      </c>
      <c r="D109" s="2">
        <f t="shared" ref="D109:J109" si="63">+$E$102*D50</f>
        <v>0</v>
      </c>
      <c r="E109" s="2">
        <f t="shared" si="63"/>
        <v>0</v>
      </c>
      <c r="F109" s="2">
        <f t="shared" si="63"/>
        <v>0</v>
      </c>
      <c r="G109" s="2">
        <f t="shared" si="63"/>
        <v>0</v>
      </c>
      <c r="H109" s="2">
        <f t="shared" si="63"/>
        <v>1.30002</v>
      </c>
      <c r="I109" s="2">
        <f t="shared" si="63"/>
        <v>0</v>
      </c>
      <c r="J109" s="2">
        <f t="shared" si="63"/>
        <v>0</v>
      </c>
    </row>
    <row r="110" spans="2:11" x14ac:dyDescent="0.25">
      <c r="C110" s="1" t="s">
        <v>18</v>
      </c>
      <c r="D110" s="2">
        <f t="shared" ref="D110:J110" si="64">+$E$103*D51</f>
        <v>0</v>
      </c>
      <c r="E110" s="2">
        <f t="shared" si="64"/>
        <v>0</v>
      </c>
      <c r="F110" s="2">
        <f t="shared" si="64"/>
        <v>0.89998000000000011</v>
      </c>
      <c r="G110" s="2">
        <f t="shared" si="64"/>
        <v>0</v>
      </c>
      <c r="H110" s="2">
        <f t="shared" si="64"/>
        <v>0</v>
      </c>
      <c r="I110" s="2">
        <f t="shared" si="64"/>
        <v>0</v>
      </c>
      <c r="J110" s="2">
        <f t="shared" si="64"/>
        <v>0</v>
      </c>
    </row>
    <row r="111" spans="2:11" x14ac:dyDescent="0.25">
      <c r="C111" s="1" t="s">
        <v>30</v>
      </c>
      <c r="D111" s="2">
        <f>+$E$104*D88</f>
        <v>0.9</v>
      </c>
      <c r="E111" s="2">
        <f t="shared" ref="E111:J111" si="65">+$E$104*E88</f>
        <v>0</v>
      </c>
      <c r="F111" s="2">
        <f t="shared" si="65"/>
        <v>0</v>
      </c>
      <c r="G111" s="2">
        <f t="shared" si="65"/>
        <v>0</v>
      </c>
      <c r="H111" s="2">
        <f t="shared" si="65"/>
        <v>0</v>
      </c>
      <c r="I111" s="2">
        <f t="shared" si="65"/>
        <v>0</v>
      </c>
      <c r="J111" s="2">
        <f t="shared" si="65"/>
        <v>0</v>
      </c>
      <c r="K111" s="38">
        <f>SUM(D107:J111)</f>
        <v>4.5</v>
      </c>
    </row>
    <row r="113" spans="2:11" x14ac:dyDescent="0.25">
      <c r="C113" s="1" t="s">
        <v>14</v>
      </c>
      <c r="D113" s="2">
        <f t="shared" ref="D113:J113" si="66">+$E$100*D54</f>
        <v>0</v>
      </c>
      <c r="E113" s="2">
        <f t="shared" si="66"/>
        <v>0</v>
      </c>
      <c r="F113" s="2">
        <f t="shared" si="66"/>
        <v>0</v>
      </c>
      <c r="G113" s="2">
        <f t="shared" si="66"/>
        <v>0</v>
      </c>
      <c r="H113" s="2">
        <f t="shared" si="66"/>
        <v>0</v>
      </c>
      <c r="I113" s="2">
        <f t="shared" si="66"/>
        <v>0</v>
      </c>
      <c r="J113" s="2">
        <f t="shared" si="66"/>
        <v>0.4</v>
      </c>
    </row>
    <row r="114" spans="2:11" x14ac:dyDescent="0.25">
      <c r="C114" s="1" t="s">
        <v>15</v>
      </c>
      <c r="D114" s="2">
        <f t="shared" ref="D114:J114" si="67">+$E$101*D55</f>
        <v>0</v>
      </c>
      <c r="E114" s="2">
        <f t="shared" si="67"/>
        <v>0</v>
      </c>
      <c r="F114" s="2">
        <f t="shared" si="67"/>
        <v>0</v>
      </c>
      <c r="G114" s="2">
        <f t="shared" si="67"/>
        <v>0</v>
      </c>
      <c r="H114" s="2">
        <f t="shared" si="67"/>
        <v>0</v>
      </c>
      <c r="I114" s="2">
        <f t="shared" si="67"/>
        <v>1</v>
      </c>
      <c r="J114" s="2">
        <f t="shared" si="67"/>
        <v>0</v>
      </c>
    </row>
    <row r="115" spans="2:11" x14ac:dyDescent="0.25">
      <c r="C115" s="1" t="s">
        <v>16</v>
      </c>
      <c r="D115" s="2">
        <f t="shared" ref="D115:J115" si="68">+$E$102*D56</f>
        <v>0</v>
      </c>
      <c r="E115" s="2">
        <f t="shared" si="68"/>
        <v>0</v>
      </c>
      <c r="F115" s="2">
        <f t="shared" si="68"/>
        <v>0</v>
      </c>
      <c r="G115" s="2">
        <f t="shared" si="68"/>
        <v>0</v>
      </c>
      <c r="H115" s="2">
        <f t="shared" si="68"/>
        <v>0.70002000000000009</v>
      </c>
      <c r="I115" s="2">
        <f t="shared" si="68"/>
        <v>0</v>
      </c>
      <c r="J115" s="2">
        <f t="shared" si="68"/>
        <v>0</v>
      </c>
    </row>
    <row r="116" spans="2:11" x14ac:dyDescent="0.25">
      <c r="C116" s="1" t="s">
        <v>23</v>
      </c>
      <c r="D116" s="2">
        <f t="shared" ref="D116:J116" si="69">+$E$103*D57</f>
        <v>0</v>
      </c>
      <c r="E116" s="2">
        <f t="shared" si="69"/>
        <v>0</v>
      </c>
      <c r="F116" s="2">
        <f t="shared" si="69"/>
        <v>1.4999800000000001</v>
      </c>
      <c r="G116" s="2">
        <f t="shared" si="69"/>
        <v>0</v>
      </c>
      <c r="H116" s="2">
        <f t="shared" si="69"/>
        <v>0</v>
      </c>
      <c r="I116" s="2">
        <f t="shared" si="69"/>
        <v>0</v>
      </c>
      <c r="J116" s="2">
        <f t="shared" si="69"/>
        <v>0</v>
      </c>
    </row>
    <row r="117" spans="2:11" x14ac:dyDescent="0.25">
      <c r="C117" s="1" t="s">
        <v>31</v>
      </c>
      <c r="D117" s="2">
        <f>+$E$104*D89</f>
        <v>0.9</v>
      </c>
      <c r="E117" s="2">
        <f t="shared" ref="E117:J117" si="70">+$E$104*E89</f>
        <v>0</v>
      </c>
      <c r="F117" s="2">
        <f t="shared" si="70"/>
        <v>0</v>
      </c>
      <c r="G117" s="2">
        <f t="shared" si="70"/>
        <v>0</v>
      </c>
      <c r="H117" s="2">
        <f t="shared" si="70"/>
        <v>0</v>
      </c>
      <c r="I117" s="2">
        <f t="shared" si="70"/>
        <v>0</v>
      </c>
      <c r="J117" s="2">
        <f t="shared" si="70"/>
        <v>0</v>
      </c>
      <c r="K117" s="38">
        <f>SUM(D113:J117)</f>
        <v>4.5</v>
      </c>
    </row>
    <row r="119" spans="2:11" x14ac:dyDescent="0.25">
      <c r="B119" s="27" t="s">
        <v>24</v>
      </c>
      <c r="C119" s="27" t="s">
        <v>4</v>
      </c>
      <c r="D119" s="131">
        <f t="shared" ref="D119:J119" si="71">IF($K98=D2,$K111,0)</f>
        <v>0</v>
      </c>
      <c r="E119" s="131">
        <f t="shared" si="71"/>
        <v>0</v>
      </c>
      <c r="F119" s="131">
        <f t="shared" si="71"/>
        <v>0</v>
      </c>
      <c r="G119" s="131">
        <f t="shared" si="71"/>
        <v>4.5</v>
      </c>
      <c r="H119" s="131">
        <f t="shared" si="71"/>
        <v>0</v>
      </c>
      <c r="I119" s="131">
        <f t="shared" si="71"/>
        <v>0</v>
      </c>
      <c r="J119" s="131">
        <f t="shared" si="71"/>
        <v>0</v>
      </c>
    </row>
    <row r="120" spans="2:11" x14ac:dyDescent="0.25">
      <c r="B120" s="4"/>
      <c r="C120" s="27" t="s">
        <v>5</v>
      </c>
      <c r="D120" s="131">
        <f t="shared" ref="D120:J120" si="72">IF($K98=D2,$K117,0)</f>
        <v>0</v>
      </c>
      <c r="E120" s="131">
        <f t="shared" si="72"/>
        <v>0</v>
      </c>
      <c r="F120" s="131">
        <f t="shared" si="72"/>
        <v>0</v>
      </c>
      <c r="G120" s="131">
        <f t="shared" si="72"/>
        <v>4.5</v>
      </c>
      <c r="H120" s="131">
        <f t="shared" si="72"/>
        <v>0</v>
      </c>
      <c r="I120" s="131">
        <f t="shared" si="72"/>
        <v>0</v>
      </c>
      <c r="J120" s="131">
        <f t="shared" si="72"/>
        <v>0</v>
      </c>
    </row>
    <row r="121" spans="2:11" x14ac:dyDescent="0.25">
      <c r="B121" s="4"/>
      <c r="C121" s="4"/>
      <c r="D121" s="4"/>
      <c r="E121" s="4"/>
      <c r="F121" s="4"/>
      <c r="G121" s="4"/>
      <c r="H121" s="4"/>
      <c r="I121" s="4"/>
      <c r="J121" s="4"/>
    </row>
    <row r="123" spans="2:11" x14ac:dyDescent="0.25">
      <c r="C123" t="s">
        <v>32</v>
      </c>
      <c r="K123" s="124">
        <f>+M64</f>
        <v>2</v>
      </c>
    </row>
    <row r="125" spans="2:11" x14ac:dyDescent="0.25">
      <c r="B125" s="32" t="s">
        <v>33</v>
      </c>
      <c r="C125">
        <f>VLOOKUP(K17,brand_data,K123+2)</f>
        <v>5</v>
      </c>
      <c r="D125">
        <f t="shared" ref="D125:D130" si="73">LOOKUP(C125,weights)</f>
        <v>20</v>
      </c>
      <c r="E125" s="39">
        <f t="shared" ref="E125:E130" si="74">+D125/D$131</f>
        <v>0.16666666666666666</v>
      </c>
    </row>
    <row r="126" spans="2:11" x14ac:dyDescent="0.25">
      <c r="B126" s="32" t="s">
        <v>34</v>
      </c>
      <c r="C126">
        <f>VLOOKUP(K26,brand_data,K123+2)</f>
        <v>5</v>
      </c>
      <c r="D126">
        <f t="shared" si="73"/>
        <v>20</v>
      </c>
      <c r="E126" s="39">
        <f t="shared" si="74"/>
        <v>0.16666666666666666</v>
      </c>
    </row>
    <row r="127" spans="2:11" x14ac:dyDescent="0.25">
      <c r="B127" s="32" t="s">
        <v>35</v>
      </c>
      <c r="C127">
        <f>VLOOKUP(K27,brand_data,K123+2)</f>
        <v>5</v>
      </c>
      <c r="D127">
        <f t="shared" si="73"/>
        <v>20</v>
      </c>
      <c r="E127" s="39">
        <f t="shared" si="74"/>
        <v>0.16666666666666666</v>
      </c>
    </row>
    <row r="128" spans="2:11" x14ac:dyDescent="0.25">
      <c r="B128" s="32" t="s">
        <v>36</v>
      </c>
      <c r="C128">
        <f>VLOOKUP(L31,brand_data,K123+2)</f>
        <v>5</v>
      </c>
      <c r="D128">
        <f t="shared" si="73"/>
        <v>20</v>
      </c>
      <c r="E128" s="39">
        <f t="shared" si="74"/>
        <v>0.16666666666666666</v>
      </c>
    </row>
    <row r="129" spans="2:11" x14ac:dyDescent="0.25">
      <c r="B129" s="32" t="s">
        <v>37</v>
      </c>
      <c r="C129">
        <f>VLOOKUP(K70,brand_data,K123+2)</f>
        <v>5</v>
      </c>
      <c r="D129">
        <f t="shared" si="73"/>
        <v>20</v>
      </c>
      <c r="E129" s="39">
        <f t="shared" si="74"/>
        <v>0.16666666666666666</v>
      </c>
    </row>
    <row r="130" spans="2:11" x14ac:dyDescent="0.25">
      <c r="B130" s="32" t="s">
        <v>38</v>
      </c>
      <c r="C130">
        <f>VLOOKUP(K98,brand_data,K123+2)</f>
        <v>5</v>
      </c>
      <c r="D130">
        <f t="shared" si="73"/>
        <v>20</v>
      </c>
      <c r="E130" s="39">
        <f t="shared" si="74"/>
        <v>0.16666666666666666</v>
      </c>
    </row>
    <row r="131" spans="2:11" x14ac:dyDescent="0.25">
      <c r="D131">
        <f>SUM(D125:D130)</f>
        <v>120</v>
      </c>
    </row>
    <row r="133" spans="2:11" x14ac:dyDescent="0.25">
      <c r="C133" s="1" t="s">
        <v>11</v>
      </c>
      <c r="D133" s="2">
        <f t="shared" ref="D133:J133" si="75">+$E$125*D48</f>
        <v>0</v>
      </c>
      <c r="E133" s="2">
        <f t="shared" si="75"/>
        <v>0</v>
      </c>
      <c r="F133" s="2">
        <f t="shared" si="75"/>
        <v>0</v>
      </c>
      <c r="G133" s="2">
        <f t="shared" si="75"/>
        <v>0</v>
      </c>
      <c r="H133" s="2">
        <f t="shared" si="75"/>
        <v>0</v>
      </c>
      <c r="I133" s="2">
        <f t="shared" si="75"/>
        <v>0</v>
      </c>
      <c r="J133" s="2">
        <f t="shared" si="75"/>
        <v>0.33333333333333331</v>
      </c>
    </row>
    <row r="134" spans="2:11" x14ac:dyDescent="0.25">
      <c r="C134" s="1" t="s">
        <v>12</v>
      </c>
      <c r="D134" s="2">
        <f t="shared" ref="D134:J134" si="76">+$E$126*D49</f>
        <v>0</v>
      </c>
      <c r="E134" s="2">
        <f t="shared" si="76"/>
        <v>0</v>
      </c>
      <c r="F134" s="2">
        <f t="shared" si="76"/>
        <v>0</v>
      </c>
      <c r="G134" s="2">
        <f t="shared" si="76"/>
        <v>0</v>
      </c>
      <c r="H134" s="2">
        <f t="shared" si="76"/>
        <v>0</v>
      </c>
      <c r="I134" s="2">
        <f t="shared" si="76"/>
        <v>0.83333333333333326</v>
      </c>
      <c r="J134" s="2">
        <f t="shared" si="76"/>
        <v>0</v>
      </c>
    </row>
    <row r="135" spans="2:11" x14ac:dyDescent="0.25">
      <c r="C135" s="1" t="s">
        <v>13</v>
      </c>
      <c r="D135" s="2">
        <f t="shared" ref="D135:J135" si="77">+$E$127*D50</f>
        <v>0</v>
      </c>
      <c r="E135" s="2">
        <f t="shared" si="77"/>
        <v>0</v>
      </c>
      <c r="F135" s="2">
        <f t="shared" si="77"/>
        <v>0</v>
      </c>
      <c r="G135" s="2">
        <f t="shared" si="77"/>
        <v>0</v>
      </c>
      <c r="H135" s="2">
        <f t="shared" si="77"/>
        <v>1.0833499999999998</v>
      </c>
      <c r="I135" s="2">
        <f t="shared" si="77"/>
        <v>0</v>
      </c>
      <c r="J135" s="2">
        <f t="shared" si="77"/>
        <v>0</v>
      </c>
    </row>
    <row r="136" spans="2:11" x14ac:dyDescent="0.25">
      <c r="C136" s="1" t="s">
        <v>18</v>
      </c>
      <c r="D136" s="2">
        <f t="shared" ref="D136:J136" si="78">+$E$128*D51</f>
        <v>0</v>
      </c>
      <c r="E136" s="2">
        <f t="shared" si="78"/>
        <v>0</v>
      </c>
      <c r="F136" s="2">
        <f t="shared" si="78"/>
        <v>0.74998333333333334</v>
      </c>
      <c r="G136" s="2">
        <f t="shared" si="78"/>
        <v>0</v>
      </c>
      <c r="H136" s="2">
        <f t="shared" si="78"/>
        <v>0</v>
      </c>
      <c r="I136" s="2">
        <f t="shared" si="78"/>
        <v>0</v>
      </c>
      <c r="J136" s="2">
        <f t="shared" si="78"/>
        <v>0</v>
      </c>
    </row>
    <row r="137" spans="2:11" x14ac:dyDescent="0.25">
      <c r="C137" s="1" t="s">
        <v>30</v>
      </c>
      <c r="D137" s="37">
        <f>+$E$129*D88</f>
        <v>0.75</v>
      </c>
      <c r="E137" s="37">
        <f t="shared" ref="E137:J137" si="79">+$E$129*E88</f>
        <v>0</v>
      </c>
      <c r="F137" s="37">
        <f t="shared" si="79"/>
        <v>0</v>
      </c>
      <c r="G137" s="37">
        <f t="shared" si="79"/>
        <v>0</v>
      </c>
      <c r="H137" s="37">
        <f t="shared" si="79"/>
        <v>0</v>
      </c>
      <c r="I137" s="37">
        <f t="shared" si="79"/>
        <v>0</v>
      </c>
      <c r="J137" s="37">
        <f t="shared" si="79"/>
        <v>0</v>
      </c>
    </row>
    <row r="138" spans="2:11" x14ac:dyDescent="0.25">
      <c r="C138" s="1" t="s">
        <v>39</v>
      </c>
      <c r="D138" s="37">
        <f>+$E$130*D119</f>
        <v>0</v>
      </c>
      <c r="E138" s="37">
        <f t="shared" ref="E138:J138" si="80">+$E$130*E119</f>
        <v>0</v>
      </c>
      <c r="F138" s="37">
        <f t="shared" si="80"/>
        <v>0</v>
      </c>
      <c r="G138" s="37">
        <f t="shared" si="80"/>
        <v>0.75</v>
      </c>
      <c r="H138" s="37">
        <f t="shared" si="80"/>
        <v>0</v>
      </c>
      <c r="I138" s="37">
        <f t="shared" si="80"/>
        <v>0</v>
      </c>
      <c r="J138" s="37">
        <f t="shared" si="80"/>
        <v>0</v>
      </c>
      <c r="K138" s="38">
        <f>SUM(D133:J138)</f>
        <v>4.5</v>
      </c>
    </row>
    <row r="140" spans="2:11" x14ac:dyDescent="0.25">
      <c r="C140" s="1" t="s">
        <v>14</v>
      </c>
      <c r="D140" s="2">
        <f t="shared" ref="D140:J140" si="81">+$E$125*D54</f>
        <v>0</v>
      </c>
      <c r="E140" s="2">
        <f t="shared" si="81"/>
        <v>0</v>
      </c>
      <c r="F140" s="2">
        <f t="shared" si="81"/>
        <v>0</v>
      </c>
      <c r="G140" s="2">
        <f t="shared" si="81"/>
        <v>0</v>
      </c>
      <c r="H140" s="2">
        <f t="shared" si="81"/>
        <v>0</v>
      </c>
      <c r="I140" s="2">
        <f t="shared" si="81"/>
        <v>0</v>
      </c>
      <c r="J140" s="2">
        <f t="shared" si="81"/>
        <v>0.33333333333333331</v>
      </c>
    </row>
    <row r="141" spans="2:11" x14ac:dyDescent="0.25">
      <c r="C141" s="1" t="s">
        <v>15</v>
      </c>
      <c r="D141" s="2">
        <f t="shared" ref="D141:J141" si="82">+$E$126*D55</f>
        <v>0</v>
      </c>
      <c r="E141" s="2">
        <f t="shared" si="82"/>
        <v>0</v>
      </c>
      <c r="F141" s="2">
        <f t="shared" si="82"/>
        <v>0</v>
      </c>
      <c r="G141" s="2">
        <f t="shared" si="82"/>
        <v>0</v>
      </c>
      <c r="H141" s="2">
        <f t="shared" si="82"/>
        <v>0</v>
      </c>
      <c r="I141" s="2">
        <f t="shared" si="82"/>
        <v>0.83333333333333326</v>
      </c>
      <c r="J141" s="2">
        <f t="shared" si="82"/>
        <v>0</v>
      </c>
    </row>
    <row r="142" spans="2:11" x14ac:dyDescent="0.25">
      <c r="C142" s="1" t="s">
        <v>16</v>
      </c>
      <c r="D142" s="2">
        <f t="shared" ref="D142:J142" si="83">+$E$127*D56</f>
        <v>0</v>
      </c>
      <c r="E142" s="2">
        <f t="shared" si="83"/>
        <v>0</v>
      </c>
      <c r="F142" s="2">
        <f t="shared" si="83"/>
        <v>0</v>
      </c>
      <c r="G142" s="2">
        <f t="shared" si="83"/>
        <v>0</v>
      </c>
      <c r="H142" s="2">
        <f t="shared" si="83"/>
        <v>0.58335000000000004</v>
      </c>
      <c r="I142" s="2">
        <f t="shared" si="83"/>
        <v>0</v>
      </c>
      <c r="J142" s="2">
        <f t="shared" si="83"/>
        <v>0</v>
      </c>
    </row>
    <row r="143" spans="2:11" x14ac:dyDescent="0.25">
      <c r="C143" s="1" t="s">
        <v>23</v>
      </c>
      <c r="D143" s="2">
        <f t="shared" ref="D143:J143" si="84">+$E$128*D57</f>
        <v>0</v>
      </c>
      <c r="E143" s="2">
        <f t="shared" si="84"/>
        <v>0</v>
      </c>
      <c r="F143" s="2">
        <f t="shared" si="84"/>
        <v>1.2499833333333332</v>
      </c>
      <c r="G143" s="2">
        <f t="shared" si="84"/>
        <v>0</v>
      </c>
      <c r="H143" s="2">
        <f t="shared" si="84"/>
        <v>0</v>
      </c>
      <c r="I143" s="2">
        <f t="shared" si="84"/>
        <v>0</v>
      </c>
      <c r="J143" s="2">
        <f t="shared" si="84"/>
        <v>0</v>
      </c>
    </row>
    <row r="144" spans="2:11" x14ac:dyDescent="0.25">
      <c r="C144" s="1" t="s">
        <v>31</v>
      </c>
      <c r="D144" s="37">
        <f>+$E$129*D89</f>
        <v>0.75</v>
      </c>
      <c r="E144" s="37">
        <f t="shared" ref="E144:J144" si="85">+$E$129*E89</f>
        <v>0</v>
      </c>
      <c r="F144" s="37">
        <f t="shared" si="85"/>
        <v>0</v>
      </c>
      <c r="G144" s="37">
        <f t="shared" si="85"/>
        <v>0</v>
      </c>
      <c r="H144" s="37">
        <f t="shared" si="85"/>
        <v>0</v>
      </c>
      <c r="I144" s="37">
        <f t="shared" si="85"/>
        <v>0</v>
      </c>
      <c r="J144" s="37">
        <f t="shared" si="85"/>
        <v>0</v>
      </c>
    </row>
    <row r="145" spans="2:11" x14ac:dyDescent="0.25">
      <c r="C145" s="1" t="s">
        <v>40</v>
      </c>
      <c r="D145" s="37">
        <f>+$E$130*D119</f>
        <v>0</v>
      </c>
      <c r="E145" s="37">
        <f t="shared" ref="E145:J145" si="86">+$E$130*E119</f>
        <v>0</v>
      </c>
      <c r="F145" s="37">
        <f t="shared" si="86"/>
        <v>0</v>
      </c>
      <c r="G145" s="37">
        <f t="shared" si="86"/>
        <v>0.75</v>
      </c>
      <c r="H145" s="37">
        <f t="shared" si="86"/>
        <v>0</v>
      </c>
      <c r="I145" s="37">
        <f t="shared" si="86"/>
        <v>0</v>
      </c>
      <c r="J145" s="37">
        <f t="shared" si="86"/>
        <v>0</v>
      </c>
      <c r="K145" s="38">
        <f>SUM(D140:J145)</f>
        <v>4.5</v>
      </c>
    </row>
    <row r="148" spans="2:11" x14ac:dyDescent="0.25">
      <c r="B148" s="27" t="s">
        <v>32</v>
      </c>
      <c r="C148" s="27" t="s">
        <v>4</v>
      </c>
      <c r="D148" s="131">
        <f t="shared" ref="D148:K148" si="87">IF(D2=$K123,$K138,0)</f>
        <v>0</v>
      </c>
      <c r="E148" s="131">
        <f t="shared" si="87"/>
        <v>4.5</v>
      </c>
      <c r="F148" s="131">
        <f t="shared" si="87"/>
        <v>0</v>
      </c>
      <c r="G148" s="131">
        <f t="shared" si="87"/>
        <v>0</v>
      </c>
      <c r="H148" s="131">
        <f t="shared" si="87"/>
        <v>0</v>
      </c>
      <c r="I148" s="131">
        <f t="shared" si="87"/>
        <v>0</v>
      </c>
      <c r="J148" s="131">
        <f t="shared" si="87"/>
        <v>0</v>
      </c>
      <c r="K148" s="131">
        <f t="shared" si="87"/>
        <v>0</v>
      </c>
    </row>
    <row r="149" spans="2:11" x14ac:dyDescent="0.25">
      <c r="B149" s="4"/>
      <c r="C149" s="27" t="s">
        <v>5</v>
      </c>
      <c r="D149" s="131">
        <f t="shared" ref="D149:K149" si="88">IF(D2=$K123,$K145,0)</f>
        <v>0</v>
      </c>
      <c r="E149" s="131">
        <f t="shared" si="88"/>
        <v>4.5</v>
      </c>
      <c r="F149" s="131">
        <f t="shared" si="88"/>
        <v>0</v>
      </c>
      <c r="G149" s="131">
        <f t="shared" si="88"/>
        <v>0</v>
      </c>
      <c r="H149" s="131">
        <f t="shared" si="88"/>
        <v>0</v>
      </c>
      <c r="I149" s="131">
        <f t="shared" si="88"/>
        <v>0</v>
      </c>
      <c r="J149" s="131">
        <f t="shared" si="88"/>
        <v>0</v>
      </c>
      <c r="K149" s="131">
        <f t="shared" si="88"/>
        <v>0</v>
      </c>
    </row>
    <row r="150" spans="2:11" ht="15.75" thickBot="1" x14ac:dyDescent="0.3"/>
    <row r="151" spans="2:11" x14ac:dyDescent="0.25">
      <c r="B151" s="136"/>
      <c r="C151" s="134"/>
      <c r="D151" s="134">
        <v>1</v>
      </c>
      <c r="E151" s="134">
        <v>2</v>
      </c>
      <c r="F151" s="134">
        <v>3</v>
      </c>
      <c r="G151" s="134">
        <v>4</v>
      </c>
      <c r="H151" s="134">
        <v>5</v>
      </c>
      <c r="I151" s="134">
        <v>6</v>
      </c>
      <c r="J151" s="135">
        <v>7</v>
      </c>
      <c r="K151" s="135"/>
    </row>
    <row r="152" spans="2:11" x14ac:dyDescent="0.25">
      <c r="B152" s="137" t="s">
        <v>107</v>
      </c>
      <c r="C152" s="138" t="s">
        <v>4</v>
      </c>
      <c r="D152" s="139">
        <f>+D148+D119+D92</f>
        <v>4.5</v>
      </c>
      <c r="E152" s="139">
        <f t="shared" ref="E152:J152" si="89">+E148+E119+E92</f>
        <v>4.5</v>
      </c>
      <c r="F152" s="139">
        <f t="shared" si="89"/>
        <v>4.4999000000000002</v>
      </c>
      <c r="G152" s="139">
        <f t="shared" si="89"/>
        <v>4.5</v>
      </c>
      <c r="H152" s="139">
        <f t="shared" si="89"/>
        <v>6.5000999999999998</v>
      </c>
      <c r="I152" s="139">
        <f t="shared" si="89"/>
        <v>5</v>
      </c>
      <c r="J152" s="139">
        <f t="shared" si="89"/>
        <v>2</v>
      </c>
      <c r="K152" s="140"/>
    </row>
    <row r="153" spans="2:11" ht="15.75" thickBot="1" x14ac:dyDescent="0.3">
      <c r="B153" s="141"/>
      <c r="C153" s="142" t="s">
        <v>5</v>
      </c>
      <c r="D153" s="143">
        <f>+D149+D120+D93</f>
        <v>4.5</v>
      </c>
      <c r="E153" s="143">
        <f t="shared" ref="E153:J153" si="90">+E149+E120+E93</f>
        <v>4.5</v>
      </c>
      <c r="F153" s="143">
        <f t="shared" si="90"/>
        <v>7.4999000000000002</v>
      </c>
      <c r="G153" s="143">
        <f t="shared" si="90"/>
        <v>4.5</v>
      </c>
      <c r="H153" s="143">
        <f t="shared" si="90"/>
        <v>3.5001000000000002</v>
      </c>
      <c r="I153" s="143">
        <f t="shared" si="90"/>
        <v>5</v>
      </c>
      <c r="J153" s="143">
        <f t="shared" si="90"/>
        <v>2</v>
      </c>
      <c r="K153" s="144"/>
    </row>
    <row r="156" spans="2:11" x14ac:dyDescent="0.25">
      <c r="D156">
        <v>1</v>
      </c>
      <c r="E156" s="37">
        <f>+D152</f>
        <v>4.5</v>
      </c>
      <c r="F156" s="37">
        <f>+D153</f>
        <v>4.5</v>
      </c>
    </row>
    <row r="157" spans="2:11" x14ac:dyDescent="0.25">
      <c r="D157">
        <v>2</v>
      </c>
      <c r="E157" s="37">
        <f>+E152</f>
        <v>4.5</v>
      </c>
      <c r="F157" s="37">
        <f>+E153</f>
        <v>4.5</v>
      </c>
    </row>
    <row r="158" spans="2:11" x14ac:dyDescent="0.25">
      <c r="D158">
        <v>3</v>
      </c>
      <c r="E158" s="37">
        <f>+F152</f>
        <v>4.4999000000000002</v>
      </c>
      <c r="F158" s="37">
        <f>+F153</f>
        <v>7.4999000000000002</v>
      </c>
    </row>
    <row r="159" spans="2:11" x14ac:dyDescent="0.25">
      <c r="D159">
        <v>4</v>
      </c>
      <c r="E159" s="37">
        <f>+G152</f>
        <v>4.5</v>
      </c>
      <c r="F159" s="37">
        <f>+G153</f>
        <v>4.5</v>
      </c>
    </row>
    <row r="160" spans="2:11" x14ac:dyDescent="0.25">
      <c r="D160">
        <v>5</v>
      </c>
      <c r="E160" s="37">
        <f>+H152</f>
        <v>6.5000999999999998</v>
      </c>
      <c r="F160" s="37">
        <f>+H153</f>
        <v>3.5001000000000002</v>
      </c>
    </row>
    <row r="161" spans="4:6" x14ac:dyDescent="0.25">
      <c r="D161">
        <v>6</v>
      </c>
      <c r="E161" s="37">
        <f>+I152</f>
        <v>5</v>
      </c>
      <c r="F161" s="37">
        <f>+I153</f>
        <v>5</v>
      </c>
    </row>
    <row r="162" spans="4:6" x14ac:dyDescent="0.25">
      <c r="D162">
        <v>7</v>
      </c>
      <c r="E162" s="37">
        <f>+J152</f>
        <v>2</v>
      </c>
      <c r="F162" s="37">
        <f>+J153</f>
        <v>2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72"/>
  <sheetViews>
    <sheetView zoomScale="87" zoomScaleNormal="87" workbookViewId="0"/>
  </sheetViews>
  <sheetFormatPr defaultRowHeight="15" x14ac:dyDescent="0.25"/>
  <cols>
    <col min="1" max="2" width="9.140625" style="41"/>
    <col min="3" max="3" width="58.85546875" style="41" customWidth="1"/>
    <col min="4" max="4" width="7.7109375" style="41" customWidth="1"/>
    <col min="5" max="5" width="27.5703125" style="41" customWidth="1"/>
    <col min="6" max="6" width="7.7109375" style="41" customWidth="1"/>
    <col min="7" max="7" width="28.85546875" style="41" customWidth="1"/>
    <col min="8" max="8" width="7.7109375" style="41" customWidth="1"/>
    <col min="9" max="9" width="33.5703125" style="41" bestFit="1" customWidth="1"/>
    <col min="10" max="258" width="9.140625" style="41"/>
    <col min="259" max="259" width="58.85546875" style="41" customWidth="1"/>
    <col min="260" max="260" width="7.7109375" style="41" customWidth="1"/>
    <col min="261" max="261" width="27.5703125" style="41" customWidth="1"/>
    <col min="262" max="262" width="7.7109375" style="41" customWidth="1"/>
    <col min="263" max="263" width="28.85546875" style="41" customWidth="1"/>
    <col min="264" max="264" width="7.7109375" style="41" customWidth="1"/>
    <col min="265" max="265" width="33.5703125" style="41" bestFit="1" customWidth="1"/>
    <col min="266" max="514" width="9.140625" style="41"/>
    <col min="515" max="515" width="58.85546875" style="41" customWidth="1"/>
    <col min="516" max="516" width="7.7109375" style="41" customWidth="1"/>
    <col min="517" max="517" width="27.5703125" style="41" customWidth="1"/>
    <col min="518" max="518" width="7.7109375" style="41" customWidth="1"/>
    <col min="519" max="519" width="28.85546875" style="41" customWidth="1"/>
    <col min="520" max="520" width="7.7109375" style="41" customWidth="1"/>
    <col min="521" max="521" width="33.5703125" style="41" bestFit="1" customWidth="1"/>
    <col min="522" max="770" width="9.140625" style="41"/>
    <col min="771" max="771" width="58.85546875" style="41" customWidth="1"/>
    <col min="772" max="772" width="7.7109375" style="41" customWidth="1"/>
    <col min="773" max="773" width="27.5703125" style="41" customWidth="1"/>
    <col min="774" max="774" width="7.7109375" style="41" customWidth="1"/>
    <col min="775" max="775" width="28.85546875" style="41" customWidth="1"/>
    <col min="776" max="776" width="7.7109375" style="41" customWidth="1"/>
    <col min="777" max="777" width="33.5703125" style="41" bestFit="1" customWidth="1"/>
    <col min="778" max="1026" width="9.140625" style="41"/>
    <col min="1027" max="1027" width="58.85546875" style="41" customWidth="1"/>
    <col min="1028" max="1028" width="7.7109375" style="41" customWidth="1"/>
    <col min="1029" max="1029" width="27.5703125" style="41" customWidth="1"/>
    <col min="1030" max="1030" width="7.7109375" style="41" customWidth="1"/>
    <col min="1031" max="1031" width="28.85546875" style="41" customWidth="1"/>
    <col min="1032" max="1032" width="7.7109375" style="41" customWidth="1"/>
    <col min="1033" max="1033" width="33.5703125" style="41" bestFit="1" customWidth="1"/>
    <col min="1034" max="1282" width="9.140625" style="41"/>
    <col min="1283" max="1283" width="58.85546875" style="41" customWidth="1"/>
    <col min="1284" max="1284" width="7.7109375" style="41" customWidth="1"/>
    <col min="1285" max="1285" width="27.5703125" style="41" customWidth="1"/>
    <col min="1286" max="1286" width="7.7109375" style="41" customWidth="1"/>
    <col min="1287" max="1287" width="28.85546875" style="41" customWidth="1"/>
    <col min="1288" max="1288" width="7.7109375" style="41" customWidth="1"/>
    <col min="1289" max="1289" width="33.5703125" style="41" bestFit="1" customWidth="1"/>
    <col min="1290" max="1538" width="9.140625" style="41"/>
    <col min="1539" max="1539" width="58.85546875" style="41" customWidth="1"/>
    <col min="1540" max="1540" width="7.7109375" style="41" customWidth="1"/>
    <col min="1541" max="1541" width="27.5703125" style="41" customWidth="1"/>
    <col min="1542" max="1542" width="7.7109375" style="41" customWidth="1"/>
    <col min="1543" max="1543" width="28.85546875" style="41" customWidth="1"/>
    <col min="1544" max="1544" width="7.7109375" style="41" customWidth="1"/>
    <col min="1545" max="1545" width="33.5703125" style="41" bestFit="1" customWidth="1"/>
    <col min="1546" max="1794" width="9.140625" style="41"/>
    <col min="1795" max="1795" width="58.85546875" style="41" customWidth="1"/>
    <col min="1796" max="1796" width="7.7109375" style="41" customWidth="1"/>
    <col min="1797" max="1797" width="27.5703125" style="41" customWidth="1"/>
    <col min="1798" max="1798" width="7.7109375" style="41" customWidth="1"/>
    <col min="1799" max="1799" width="28.85546875" style="41" customWidth="1"/>
    <col min="1800" max="1800" width="7.7109375" style="41" customWidth="1"/>
    <col min="1801" max="1801" width="33.5703125" style="41" bestFit="1" customWidth="1"/>
    <col min="1802" max="2050" width="9.140625" style="41"/>
    <col min="2051" max="2051" width="58.85546875" style="41" customWidth="1"/>
    <col min="2052" max="2052" width="7.7109375" style="41" customWidth="1"/>
    <col min="2053" max="2053" width="27.5703125" style="41" customWidth="1"/>
    <col min="2054" max="2054" width="7.7109375" style="41" customWidth="1"/>
    <col min="2055" max="2055" width="28.85546875" style="41" customWidth="1"/>
    <col min="2056" max="2056" width="7.7109375" style="41" customWidth="1"/>
    <col min="2057" max="2057" width="33.5703125" style="41" bestFit="1" customWidth="1"/>
    <col min="2058" max="2306" width="9.140625" style="41"/>
    <col min="2307" max="2307" width="58.85546875" style="41" customWidth="1"/>
    <col min="2308" max="2308" width="7.7109375" style="41" customWidth="1"/>
    <col min="2309" max="2309" width="27.5703125" style="41" customWidth="1"/>
    <col min="2310" max="2310" width="7.7109375" style="41" customWidth="1"/>
    <col min="2311" max="2311" width="28.85546875" style="41" customWidth="1"/>
    <col min="2312" max="2312" width="7.7109375" style="41" customWidth="1"/>
    <col min="2313" max="2313" width="33.5703125" style="41" bestFit="1" customWidth="1"/>
    <col min="2314" max="2562" width="9.140625" style="41"/>
    <col min="2563" max="2563" width="58.85546875" style="41" customWidth="1"/>
    <col min="2564" max="2564" width="7.7109375" style="41" customWidth="1"/>
    <col min="2565" max="2565" width="27.5703125" style="41" customWidth="1"/>
    <col min="2566" max="2566" width="7.7109375" style="41" customWidth="1"/>
    <col min="2567" max="2567" width="28.85546875" style="41" customWidth="1"/>
    <col min="2568" max="2568" width="7.7109375" style="41" customWidth="1"/>
    <col min="2569" max="2569" width="33.5703125" style="41" bestFit="1" customWidth="1"/>
    <col min="2570" max="2818" width="9.140625" style="41"/>
    <col min="2819" max="2819" width="58.85546875" style="41" customWidth="1"/>
    <col min="2820" max="2820" width="7.7109375" style="41" customWidth="1"/>
    <col min="2821" max="2821" width="27.5703125" style="41" customWidth="1"/>
    <col min="2822" max="2822" width="7.7109375" style="41" customWidth="1"/>
    <col min="2823" max="2823" width="28.85546875" style="41" customWidth="1"/>
    <col min="2824" max="2824" width="7.7109375" style="41" customWidth="1"/>
    <col min="2825" max="2825" width="33.5703125" style="41" bestFit="1" customWidth="1"/>
    <col min="2826" max="3074" width="9.140625" style="41"/>
    <col min="3075" max="3075" width="58.85546875" style="41" customWidth="1"/>
    <col min="3076" max="3076" width="7.7109375" style="41" customWidth="1"/>
    <col min="3077" max="3077" width="27.5703125" style="41" customWidth="1"/>
    <col min="3078" max="3078" width="7.7109375" style="41" customWidth="1"/>
    <col min="3079" max="3079" width="28.85546875" style="41" customWidth="1"/>
    <col min="3080" max="3080" width="7.7109375" style="41" customWidth="1"/>
    <col min="3081" max="3081" width="33.5703125" style="41" bestFit="1" customWidth="1"/>
    <col min="3082" max="3330" width="9.140625" style="41"/>
    <col min="3331" max="3331" width="58.85546875" style="41" customWidth="1"/>
    <col min="3332" max="3332" width="7.7109375" style="41" customWidth="1"/>
    <col min="3333" max="3333" width="27.5703125" style="41" customWidth="1"/>
    <col min="3334" max="3334" width="7.7109375" style="41" customWidth="1"/>
    <col min="3335" max="3335" width="28.85546875" style="41" customWidth="1"/>
    <col min="3336" max="3336" width="7.7109375" style="41" customWidth="1"/>
    <col min="3337" max="3337" width="33.5703125" style="41" bestFit="1" customWidth="1"/>
    <col min="3338" max="3586" width="9.140625" style="41"/>
    <col min="3587" max="3587" width="58.85546875" style="41" customWidth="1"/>
    <col min="3588" max="3588" width="7.7109375" style="41" customWidth="1"/>
    <col min="3589" max="3589" width="27.5703125" style="41" customWidth="1"/>
    <col min="3590" max="3590" width="7.7109375" style="41" customWidth="1"/>
    <col min="3591" max="3591" width="28.85546875" style="41" customWidth="1"/>
    <col min="3592" max="3592" width="7.7109375" style="41" customWidth="1"/>
    <col min="3593" max="3593" width="33.5703125" style="41" bestFit="1" customWidth="1"/>
    <col min="3594" max="3842" width="9.140625" style="41"/>
    <col min="3843" max="3843" width="58.85546875" style="41" customWidth="1"/>
    <col min="3844" max="3844" width="7.7109375" style="41" customWidth="1"/>
    <col min="3845" max="3845" width="27.5703125" style="41" customWidth="1"/>
    <col min="3846" max="3846" width="7.7109375" style="41" customWidth="1"/>
    <col min="3847" max="3847" width="28.85546875" style="41" customWidth="1"/>
    <col min="3848" max="3848" width="7.7109375" style="41" customWidth="1"/>
    <col min="3849" max="3849" width="33.5703125" style="41" bestFit="1" customWidth="1"/>
    <col min="3850" max="4098" width="9.140625" style="41"/>
    <col min="4099" max="4099" width="58.85546875" style="41" customWidth="1"/>
    <col min="4100" max="4100" width="7.7109375" style="41" customWidth="1"/>
    <col min="4101" max="4101" width="27.5703125" style="41" customWidth="1"/>
    <col min="4102" max="4102" width="7.7109375" style="41" customWidth="1"/>
    <col min="4103" max="4103" width="28.85546875" style="41" customWidth="1"/>
    <col min="4104" max="4104" width="7.7109375" style="41" customWidth="1"/>
    <col min="4105" max="4105" width="33.5703125" style="41" bestFit="1" customWidth="1"/>
    <col min="4106" max="4354" width="9.140625" style="41"/>
    <col min="4355" max="4355" width="58.85546875" style="41" customWidth="1"/>
    <col min="4356" max="4356" width="7.7109375" style="41" customWidth="1"/>
    <col min="4357" max="4357" width="27.5703125" style="41" customWidth="1"/>
    <col min="4358" max="4358" width="7.7109375" style="41" customWidth="1"/>
    <col min="4359" max="4359" width="28.85546875" style="41" customWidth="1"/>
    <col min="4360" max="4360" width="7.7109375" style="41" customWidth="1"/>
    <col min="4361" max="4361" width="33.5703125" style="41" bestFit="1" customWidth="1"/>
    <col min="4362" max="4610" width="9.140625" style="41"/>
    <col min="4611" max="4611" width="58.85546875" style="41" customWidth="1"/>
    <col min="4612" max="4612" width="7.7109375" style="41" customWidth="1"/>
    <col min="4613" max="4613" width="27.5703125" style="41" customWidth="1"/>
    <col min="4614" max="4614" width="7.7109375" style="41" customWidth="1"/>
    <col min="4615" max="4615" width="28.85546875" style="41" customWidth="1"/>
    <col min="4616" max="4616" width="7.7109375" style="41" customWidth="1"/>
    <col min="4617" max="4617" width="33.5703125" style="41" bestFit="1" customWidth="1"/>
    <col min="4618" max="4866" width="9.140625" style="41"/>
    <col min="4867" max="4867" width="58.85546875" style="41" customWidth="1"/>
    <col min="4868" max="4868" width="7.7109375" style="41" customWidth="1"/>
    <col min="4869" max="4869" width="27.5703125" style="41" customWidth="1"/>
    <col min="4870" max="4870" width="7.7109375" style="41" customWidth="1"/>
    <col min="4871" max="4871" width="28.85546875" style="41" customWidth="1"/>
    <col min="4872" max="4872" width="7.7109375" style="41" customWidth="1"/>
    <col min="4873" max="4873" width="33.5703125" style="41" bestFit="1" customWidth="1"/>
    <col min="4874" max="5122" width="9.140625" style="41"/>
    <col min="5123" max="5123" width="58.85546875" style="41" customWidth="1"/>
    <col min="5124" max="5124" width="7.7109375" style="41" customWidth="1"/>
    <col min="5125" max="5125" width="27.5703125" style="41" customWidth="1"/>
    <col min="5126" max="5126" width="7.7109375" style="41" customWidth="1"/>
    <col min="5127" max="5127" width="28.85546875" style="41" customWidth="1"/>
    <col min="5128" max="5128" width="7.7109375" style="41" customWidth="1"/>
    <col min="5129" max="5129" width="33.5703125" style="41" bestFit="1" customWidth="1"/>
    <col min="5130" max="5378" width="9.140625" style="41"/>
    <col min="5379" max="5379" width="58.85546875" style="41" customWidth="1"/>
    <col min="5380" max="5380" width="7.7109375" style="41" customWidth="1"/>
    <col min="5381" max="5381" width="27.5703125" style="41" customWidth="1"/>
    <col min="5382" max="5382" width="7.7109375" style="41" customWidth="1"/>
    <col min="5383" max="5383" width="28.85546875" style="41" customWidth="1"/>
    <col min="5384" max="5384" width="7.7109375" style="41" customWidth="1"/>
    <col min="5385" max="5385" width="33.5703125" style="41" bestFit="1" customWidth="1"/>
    <col min="5386" max="5634" width="9.140625" style="41"/>
    <col min="5635" max="5635" width="58.85546875" style="41" customWidth="1"/>
    <col min="5636" max="5636" width="7.7109375" style="41" customWidth="1"/>
    <col min="5637" max="5637" width="27.5703125" style="41" customWidth="1"/>
    <col min="5638" max="5638" width="7.7109375" style="41" customWidth="1"/>
    <col min="5639" max="5639" width="28.85546875" style="41" customWidth="1"/>
    <col min="5640" max="5640" width="7.7109375" style="41" customWidth="1"/>
    <col min="5641" max="5641" width="33.5703125" style="41" bestFit="1" customWidth="1"/>
    <col min="5642" max="5890" width="9.140625" style="41"/>
    <col min="5891" max="5891" width="58.85546875" style="41" customWidth="1"/>
    <col min="5892" max="5892" width="7.7109375" style="41" customWidth="1"/>
    <col min="5893" max="5893" width="27.5703125" style="41" customWidth="1"/>
    <col min="5894" max="5894" width="7.7109375" style="41" customWidth="1"/>
    <col min="5895" max="5895" width="28.85546875" style="41" customWidth="1"/>
    <col min="5896" max="5896" width="7.7109375" style="41" customWidth="1"/>
    <col min="5897" max="5897" width="33.5703125" style="41" bestFit="1" customWidth="1"/>
    <col min="5898" max="6146" width="9.140625" style="41"/>
    <col min="6147" max="6147" width="58.85546875" style="41" customWidth="1"/>
    <col min="6148" max="6148" width="7.7109375" style="41" customWidth="1"/>
    <col min="6149" max="6149" width="27.5703125" style="41" customWidth="1"/>
    <col min="6150" max="6150" width="7.7109375" style="41" customWidth="1"/>
    <col min="6151" max="6151" width="28.85546875" style="41" customWidth="1"/>
    <col min="6152" max="6152" width="7.7109375" style="41" customWidth="1"/>
    <col min="6153" max="6153" width="33.5703125" style="41" bestFit="1" customWidth="1"/>
    <col min="6154" max="6402" width="9.140625" style="41"/>
    <col min="6403" max="6403" width="58.85546875" style="41" customWidth="1"/>
    <col min="6404" max="6404" width="7.7109375" style="41" customWidth="1"/>
    <col min="6405" max="6405" width="27.5703125" style="41" customWidth="1"/>
    <col min="6406" max="6406" width="7.7109375" style="41" customWidth="1"/>
    <col min="6407" max="6407" width="28.85546875" style="41" customWidth="1"/>
    <col min="6408" max="6408" width="7.7109375" style="41" customWidth="1"/>
    <col min="6409" max="6409" width="33.5703125" style="41" bestFit="1" customWidth="1"/>
    <col min="6410" max="6658" width="9.140625" style="41"/>
    <col min="6659" max="6659" width="58.85546875" style="41" customWidth="1"/>
    <col min="6660" max="6660" width="7.7109375" style="41" customWidth="1"/>
    <col min="6661" max="6661" width="27.5703125" style="41" customWidth="1"/>
    <col min="6662" max="6662" width="7.7109375" style="41" customWidth="1"/>
    <col min="6663" max="6663" width="28.85546875" style="41" customWidth="1"/>
    <col min="6664" max="6664" width="7.7109375" style="41" customWidth="1"/>
    <col min="6665" max="6665" width="33.5703125" style="41" bestFit="1" customWidth="1"/>
    <col min="6666" max="6914" width="9.140625" style="41"/>
    <col min="6915" max="6915" width="58.85546875" style="41" customWidth="1"/>
    <col min="6916" max="6916" width="7.7109375" style="41" customWidth="1"/>
    <col min="6917" max="6917" width="27.5703125" style="41" customWidth="1"/>
    <col min="6918" max="6918" width="7.7109375" style="41" customWidth="1"/>
    <col min="6919" max="6919" width="28.85546875" style="41" customWidth="1"/>
    <col min="6920" max="6920" width="7.7109375" style="41" customWidth="1"/>
    <col min="6921" max="6921" width="33.5703125" style="41" bestFit="1" customWidth="1"/>
    <col min="6922" max="7170" width="9.140625" style="41"/>
    <col min="7171" max="7171" width="58.85546875" style="41" customWidth="1"/>
    <col min="7172" max="7172" width="7.7109375" style="41" customWidth="1"/>
    <col min="7173" max="7173" width="27.5703125" style="41" customWidth="1"/>
    <col min="7174" max="7174" width="7.7109375" style="41" customWidth="1"/>
    <col min="7175" max="7175" width="28.85546875" style="41" customWidth="1"/>
    <col min="7176" max="7176" width="7.7109375" style="41" customWidth="1"/>
    <col min="7177" max="7177" width="33.5703125" style="41" bestFit="1" customWidth="1"/>
    <col min="7178" max="7426" width="9.140625" style="41"/>
    <col min="7427" max="7427" width="58.85546875" style="41" customWidth="1"/>
    <col min="7428" max="7428" width="7.7109375" style="41" customWidth="1"/>
    <col min="7429" max="7429" width="27.5703125" style="41" customWidth="1"/>
    <col min="7430" max="7430" width="7.7109375" style="41" customWidth="1"/>
    <col min="7431" max="7431" width="28.85546875" style="41" customWidth="1"/>
    <col min="7432" max="7432" width="7.7109375" style="41" customWidth="1"/>
    <col min="7433" max="7433" width="33.5703125" style="41" bestFit="1" customWidth="1"/>
    <col min="7434" max="7682" width="9.140625" style="41"/>
    <col min="7683" max="7683" width="58.85546875" style="41" customWidth="1"/>
    <col min="7684" max="7684" width="7.7109375" style="41" customWidth="1"/>
    <col min="7685" max="7685" width="27.5703125" style="41" customWidth="1"/>
    <col min="7686" max="7686" width="7.7109375" style="41" customWidth="1"/>
    <col min="7687" max="7687" width="28.85546875" style="41" customWidth="1"/>
    <col min="7688" max="7688" width="7.7109375" style="41" customWidth="1"/>
    <col min="7689" max="7689" width="33.5703125" style="41" bestFit="1" customWidth="1"/>
    <col min="7690" max="7938" width="9.140625" style="41"/>
    <col min="7939" max="7939" width="58.85546875" style="41" customWidth="1"/>
    <col min="7940" max="7940" width="7.7109375" style="41" customWidth="1"/>
    <col min="7941" max="7941" width="27.5703125" style="41" customWidth="1"/>
    <col min="7942" max="7942" width="7.7109375" style="41" customWidth="1"/>
    <col min="7943" max="7943" width="28.85546875" style="41" customWidth="1"/>
    <col min="7944" max="7944" width="7.7109375" style="41" customWidth="1"/>
    <col min="7945" max="7945" width="33.5703125" style="41" bestFit="1" customWidth="1"/>
    <col min="7946" max="8194" width="9.140625" style="41"/>
    <col min="8195" max="8195" width="58.85546875" style="41" customWidth="1"/>
    <col min="8196" max="8196" width="7.7109375" style="41" customWidth="1"/>
    <col min="8197" max="8197" width="27.5703125" style="41" customWidth="1"/>
    <col min="8198" max="8198" width="7.7109375" style="41" customWidth="1"/>
    <col min="8199" max="8199" width="28.85546875" style="41" customWidth="1"/>
    <col min="8200" max="8200" width="7.7109375" style="41" customWidth="1"/>
    <col min="8201" max="8201" width="33.5703125" style="41" bestFit="1" customWidth="1"/>
    <col min="8202" max="8450" width="9.140625" style="41"/>
    <col min="8451" max="8451" width="58.85546875" style="41" customWidth="1"/>
    <col min="8452" max="8452" width="7.7109375" style="41" customWidth="1"/>
    <col min="8453" max="8453" width="27.5703125" style="41" customWidth="1"/>
    <col min="8454" max="8454" width="7.7109375" style="41" customWidth="1"/>
    <col min="8455" max="8455" width="28.85546875" style="41" customWidth="1"/>
    <col min="8456" max="8456" width="7.7109375" style="41" customWidth="1"/>
    <col min="8457" max="8457" width="33.5703125" style="41" bestFit="1" customWidth="1"/>
    <col min="8458" max="8706" width="9.140625" style="41"/>
    <col min="8707" max="8707" width="58.85546875" style="41" customWidth="1"/>
    <col min="8708" max="8708" width="7.7109375" style="41" customWidth="1"/>
    <col min="8709" max="8709" width="27.5703125" style="41" customWidth="1"/>
    <col min="8710" max="8710" width="7.7109375" style="41" customWidth="1"/>
    <col min="8711" max="8711" width="28.85546875" style="41" customWidth="1"/>
    <col min="8712" max="8712" width="7.7109375" style="41" customWidth="1"/>
    <col min="8713" max="8713" width="33.5703125" style="41" bestFit="1" customWidth="1"/>
    <col min="8714" max="8962" width="9.140625" style="41"/>
    <col min="8963" max="8963" width="58.85546875" style="41" customWidth="1"/>
    <col min="8964" max="8964" width="7.7109375" style="41" customWidth="1"/>
    <col min="8965" max="8965" width="27.5703125" style="41" customWidth="1"/>
    <col min="8966" max="8966" width="7.7109375" style="41" customWidth="1"/>
    <col min="8967" max="8967" width="28.85546875" style="41" customWidth="1"/>
    <col min="8968" max="8968" width="7.7109375" style="41" customWidth="1"/>
    <col min="8969" max="8969" width="33.5703125" style="41" bestFit="1" customWidth="1"/>
    <col min="8970" max="9218" width="9.140625" style="41"/>
    <col min="9219" max="9219" width="58.85546875" style="41" customWidth="1"/>
    <col min="9220" max="9220" width="7.7109375" style="41" customWidth="1"/>
    <col min="9221" max="9221" width="27.5703125" style="41" customWidth="1"/>
    <col min="9222" max="9222" width="7.7109375" style="41" customWidth="1"/>
    <col min="9223" max="9223" width="28.85546875" style="41" customWidth="1"/>
    <col min="9224" max="9224" width="7.7109375" style="41" customWidth="1"/>
    <col min="9225" max="9225" width="33.5703125" style="41" bestFit="1" customWidth="1"/>
    <col min="9226" max="9474" width="9.140625" style="41"/>
    <col min="9475" max="9475" width="58.85546875" style="41" customWidth="1"/>
    <col min="9476" max="9476" width="7.7109375" style="41" customWidth="1"/>
    <col min="9477" max="9477" width="27.5703125" style="41" customWidth="1"/>
    <col min="9478" max="9478" width="7.7109375" style="41" customWidth="1"/>
    <col min="9479" max="9479" width="28.85546875" style="41" customWidth="1"/>
    <col min="9480" max="9480" width="7.7109375" style="41" customWidth="1"/>
    <col min="9481" max="9481" width="33.5703125" style="41" bestFit="1" customWidth="1"/>
    <col min="9482" max="9730" width="9.140625" style="41"/>
    <col min="9731" max="9731" width="58.85546875" style="41" customWidth="1"/>
    <col min="9732" max="9732" width="7.7109375" style="41" customWidth="1"/>
    <col min="9733" max="9733" width="27.5703125" style="41" customWidth="1"/>
    <col min="9734" max="9734" width="7.7109375" style="41" customWidth="1"/>
    <col min="9735" max="9735" width="28.85546875" style="41" customWidth="1"/>
    <col min="9736" max="9736" width="7.7109375" style="41" customWidth="1"/>
    <col min="9737" max="9737" width="33.5703125" style="41" bestFit="1" customWidth="1"/>
    <col min="9738" max="9986" width="9.140625" style="41"/>
    <col min="9987" max="9987" width="58.85546875" style="41" customWidth="1"/>
    <col min="9988" max="9988" width="7.7109375" style="41" customWidth="1"/>
    <col min="9989" max="9989" width="27.5703125" style="41" customWidth="1"/>
    <col min="9990" max="9990" width="7.7109375" style="41" customWidth="1"/>
    <col min="9991" max="9991" width="28.85546875" style="41" customWidth="1"/>
    <col min="9992" max="9992" width="7.7109375" style="41" customWidth="1"/>
    <col min="9993" max="9993" width="33.5703125" style="41" bestFit="1" customWidth="1"/>
    <col min="9994" max="10242" width="9.140625" style="41"/>
    <col min="10243" max="10243" width="58.85546875" style="41" customWidth="1"/>
    <col min="10244" max="10244" width="7.7109375" style="41" customWidth="1"/>
    <col min="10245" max="10245" width="27.5703125" style="41" customWidth="1"/>
    <col min="10246" max="10246" width="7.7109375" style="41" customWidth="1"/>
    <col min="10247" max="10247" width="28.85546875" style="41" customWidth="1"/>
    <col min="10248" max="10248" width="7.7109375" style="41" customWidth="1"/>
    <col min="10249" max="10249" width="33.5703125" style="41" bestFit="1" customWidth="1"/>
    <col min="10250" max="10498" width="9.140625" style="41"/>
    <col min="10499" max="10499" width="58.85546875" style="41" customWidth="1"/>
    <col min="10500" max="10500" width="7.7109375" style="41" customWidth="1"/>
    <col min="10501" max="10501" width="27.5703125" style="41" customWidth="1"/>
    <col min="10502" max="10502" width="7.7109375" style="41" customWidth="1"/>
    <col min="10503" max="10503" width="28.85546875" style="41" customWidth="1"/>
    <col min="10504" max="10504" width="7.7109375" style="41" customWidth="1"/>
    <col min="10505" max="10505" width="33.5703125" style="41" bestFit="1" customWidth="1"/>
    <col min="10506" max="10754" width="9.140625" style="41"/>
    <col min="10755" max="10755" width="58.85546875" style="41" customWidth="1"/>
    <col min="10756" max="10756" width="7.7109375" style="41" customWidth="1"/>
    <col min="10757" max="10757" width="27.5703125" style="41" customWidth="1"/>
    <col min="10758" max="10758" width="7.7109375" style="41" customWidth="1"/>
    <col min="10759" max="10759" width="28.85546875" style="41" customWidth="1"/>
    <col min="10760" max="10760" width="7.7109375" style="41" customWidth="1"/>
    <col min="10761" max="10761" width="33.5703125" style="41" bestFit="1" customWidth="1"/>
    <col min="10762" max="11010" width="9.140625" style="41"/>
    <col min="11011" max="11011" width="58.85546875" style="41" customWidth="1"/>
    <col min="11012" max="11012" width="7.7109375" style="41" customWidth="1"/>
    <col min="11013" max="11013" width="27.5703125" style="41" customWidth="1"/>
    <col min="11014" max="11014" width="7.7109375" style="41" customWidth="1"/>
    <col min="11015" max="11015" width="28.85546875" style="41" customWidth="1"/>
    <col min="11016" max="11016" width="7.7109375" style="41" customWidth="1"/>
    <col min="11017" max="11017" width="33.5703125" style="41" bestFit="1" customWidth="1"/>
    <col min="11018" max="11266" width="9.140625" style="41"/>
    <col min="11267" max="11267" width="58.85546875" style="41" customWidth="1"/>
    <col min="11268" max="11268" width="7.7109375" style="41" customWidth="1"/>
    <col min="11269" max="11269" width="27.5703125" style="41" customWidth="1"/>
    <col min="11270" max="11270" width="7.7109375" style="41" customWidth="1"/>
    <col min="11271" max="11271" width="28.85546875" style="41" customWidth="1"/>
    <col min="11272" max="11272" width="7.7109375" style="41" customWidth="1"/>
    <col min="11273" max="11273" width="33.5703125" style="41" bestFit="1" customWidth="1"/>
    <col min="11274" max="11522" width="9.140625" style="41"/>
    <col min="11523" max="11523" width="58.85546875" style="41" customWidth="1"/>
    <col min="11524" max="11524" width="7.7109375" style="41" customWidth="1"/>
    <col min="11525" max="11525" width="27.5703125" style="41" customWidth="1"/>
    <col min="11526" max="11526" width="7.7109375" style="41" customWidth="1"/>
    <col min="11527" max="11527" width="28.85546875" style="41" customWidth="1"/>
    <col min="11528" max="11528" width="7.7109375" style="41" customWidth="1"/>
    <col min="11529" max="11529" width="33.5703125" style="41" bestFit="1" customWidth="1"/>
    <col min="11530" max="11778" width="9.140625" style="41"/>
    <col min="11779" max="11779" width="58.85546875" style="41" customWidth="1"/>
    <col min="11780" max="11780" width="7.7109375" style="41" customWidth="1"/>
    <col min="11781" max="11781" width="27.5703125" style="41" customWidth="1"/>
    <col min="11782" max="11782" width="7.7109375" style="41" customWidth="1"/>
    <col min="11783" max="11783" width="28.85546875" style="41" customWidth="1"/>
    <col min="11784" max="11784" width="7.7109375" style="41" customWidth="1"/>
    <col min="11785" max="11785" width="33.5703125" style="41" bestFit="1" customWidth="1"/>
    <col min="11786" max="12034" width="9.140625" style="41"/>
    <col min="12035" max="12035" width="58.85546875" style="41" customWidth="1"/>
    <col min="12036" max="12036" width="7.7109375" style="41" customWidth="1"/>
    <col min="12037" max="12037" width="27.5703125" style="41" customWidth="1"/>
    <col min="12038" max="12038" width="7.7109375" style="41" customWidth="1"/>
    <col min="12039" max="12039" width="28.85546875" style="41" customWidth="1"/>
    <col min="12040" max="12040" width="7.7109375" style="41" customWidth="1"/>
    <col min="12041" max="12041" width="33.5703125" style="41" bestFit="1" customWidth="1"/>
    <col min="12042" max="12290" width="9.140625" style="41"/>
    <col min="12291" max="12291" width="58.85546875" style="41" customWidth="1"/>
    <col min="12292" max="12292" width="7.7109375" style="41" customWidth="1"/>
    <col min="12293" max="12293" width="27.5703125" style="41" customWidth="1"/>
    <col min="12294" max="12294" width="7.7109375" style="41" customWidth="1"/>
    <col min="12295" max="12295" width="28.85546875" style="41" customWidth="1"/>
    <col min="12296" max="12296" width="7.7109375" style="41" customWidth="1"/>
    <col min="12297" max="12297" width="33.5703125" style="41" bestFit="1" customWidth="1"/>
    <col min="12298" max="12546" width="9.140625" style="41"/>
    <col min="12547" max="12547" width="58.85546875" style="41" customWidth="1"/>
    <col min="12548" max="12548" width="7.7109375" style="41" customWidth="1"/>
    <col min="12549" max="12549" width="27.5703125" style="41" customWidth="1"/>
    <col min="12550" max="12550" width="7.7109375" style="41" customWidth="1"/>
    <col min="12551" max="12551" width="28.85546875" style="41" customWidth="1"/>
    <col min="12552" max="12552" width="7.7109375" style="41" customWidth="1"/>
    <col min="12553" max="12553" width="33.5703125" style="41" bestFit="1" customWidth="1"/>
    <col min="12554" max="12802" width="9.140625" style="41"/>
    <col min="12803" max="12803" width="58.85546875" style="41" customWidth="1"/>
    <col min="12804" max="12804" width="7.7109375" style="41" customWidth="1"/>
    <col min="12805" max="12805" width="27.5703125" style="41" customWidth="1"/>
    <col min="12806" max="12806" width="7.7109375" style="41" customWidth="1"/>
    <col min="12807" max="12807" width="28.85546875" style="41" customWidth="1"/>
    <col min="12808" max="12808" width="7.7109375" style="41" customWidth="1"/>
    <col min="12809" max="12809" width="33.5703125" style="41" bestFit="1" customWidth="1"/>
    <col min="12810" max="13058" width="9.140625" style="41"/>
    <col min="13059" max="13059" width="58.85546875" style="41" customWidth="1"/>
    <col min="13060" max="13060" width="7.7109375" style="41" customWidth="1"/>
    <col min="13061" max="13061" width="27.5703125" style="41" customWidth="1"/>
    <col min="13062" max="13062" width="7.7109375" style="41" customWidth="1"/>
    <col min="13063" max="13063" width="28.85546875" style="41" customWidth="1"/>
    <col min="13064" max="13064" width="7.7109375" style="41" customWidth="1"/>
    <col min="13065" max="13065" width="33.5703125" style="41" bestFit="1" customWidth="1"/>
    <col min="13066" max="13314" width="9.140625" style="41"/>
    <col min="13315" max="13315" width="58.85546875" style="41" customWidth="1"/>
    <col min="13316" max="13316" width="7.7109375" style="41" customWidth="1"/>
    <col min="13317" max="13317" width="27.5703125" style="41" customWidth="1"/>
    <col min="13318" max="13318" width="7.7109375" style="41" customWidth="1"/>
    <col min="13319" max="13319" width="28.85546875" style="41" customWidth="1"/>
    <col min="13320" max="13320" width="7.7109375" style="41" customWidth="1"/>
    <col min="13321" max="13321" width="33.5703125" style="41" bestFit="1" customWidth="1"/>
    <col min="13322" max="13570" width="9.140625" style="41"/>
    <col min="13571" max="13571" width="58.85546875" style="41" customWidth="1"/>
    <col min="13572" max="13572" width="7.7109375" style="41" customWidth="1"/>
    <col min="13573" max="13573" width="27.5703125" style="41" customWidth="1"/>
    <col min="13574" max="13574" width="7.7109375" style="41" customWidth="1"/>
    <col min="13575" max="13575" width="28.85546875" style="41" customWidth="1"/>
    <col min="13576" max="13576" width="7.7109375" style="41" customWidth="1"/>
    <col min="13577" max="13577" width="33.5703125" style="41" bestFit="1" customWidth="1"/>
    <col min="13578" max="13826" width="9.140625" style="41"/>
    <col min="13827" max="13827" width="58.85546875" style="41" customWidth="1"/>
    <col min="13828" max="13828" width="7.7109375" style="41" customWidth="1"/>
    <col min="13829" max="13829" width="27.5703125" style="41" customWidth="1"/>
    <col min="13830" max="13830" width="7.7109375" style="41" customWidth="1"/>
    <col min="13831" max="13831" width="28.85546875" style="41" customWidth="1"/>
    <col min="13832" max="13832" width="7.7109375" style="41" customWidth="1"/>
    <col min="13833" max="13833" width="33.5703125" style="41" bestFit="1" customWidth="1"/>
    <col min="13834" max="14082" width="9.140625" style="41"/>
    <col min="14083" max="14083" width="58.85546875" style="41" customWidth="1"/>
    <col min="14084" max="14084" width="7.7109375" style="41" customWidth="1"/>
    <col min="14085" max="14085" width="27.5703125" style="41" customWidth="1"/>
    <col min="14086" max="14086" width="7.7109375" style="41" customWidth="1"/>
    <col min="14087" max="14087" width="28.85546875" style="41" customWidth="1"/>
    <col min="14088" max="14088" width="7.7109375" style="41" customWidth="1"/>
    <col min="14089" max="14089" width="33.5703125" style="41" bestFit="1" customWidth="1"/>
    <col min="14090" max="14338" width="9.140625" style="41"/>
    <col min="14339" max="14339" width="58.85546875" style="41" customWidth="1"/>
    <col min="14340" max="14340" width="7.7109375" style="41" customWidth="1"/>
    <col min="14341" max="14341" width="27.5703125" style="41" customWidth="1"/>
    <col min="14342" max="14342" width="7.7109375" style="41" customWidth="1"/>
    <col min="14343" max="14343" width="28.85546875" style="41" customWidth="1"/>
    <col min="14344" max="14344" width="7.7109375" style="41" customWidth="1"/>
    <col min="14345" max="14345" width="33.5703125" style="41" bestFit="1" customWidth="1"/>
    <col min="14346" max="14594" width="9.140625" style="41"/>
    <col min="14595" max="14595" width="58.85546875" style="41" customWidth="1"/>
    <col min="14596" max="14596" width="7.7109375" style="41" customWidth="1"/>
    <col min="14597" max="14597" width="27.5703125" style="41" customWidth="1"/>
    <col min="14598" max="14598" width="7.7109375" style="41" customWidth="1"/>
    <col min="14599" max="14599" width="28.85546875" style="41" customWidth="1"/>
    <col min="14600" max="14600" width="7.7109375" style="41" customWidth="1"/>
    <col min="14601" max="14601" width="33.5703125" style="41" bestFit="1" customWidth="1"/>
    <col min="14602" max="14850" width="9.140625" style="41"/>
    <col min="14851" max="14851" width="58.85546875" style="41" customWidth="1"/>
    <col min="14852" max="14852" width="7.7109375" style="41" customWidth="1"/>
    <col min="14853" max="14853" width="27.5703125" style="41" customWidth="1"/>
    <col min="14854" max="14854" width="7.7109375" style="41" customWidth="1"/>
    <col min="14855" max="14855" width="28.85546875" style="41" customWidth="1"/>
    <col min="14856" max="14856" width="7.7109375" style="41" customWidth="1"/>
    <col min="14857" max="14857" width="33.5703125" style="41" bestFit="1" customWidth="1"/>
    <col min="14858" max="15106" width="9.140625" style="41"/>
    <col min="15107" max="15107" width="58.85546875" style="41" customWidth="1"/>
    <col min="15108" max="15108" width="7.7109375" style="41" customWidth="1"/>
    <col min="15109" max="15109" width="27.5703125" style="41" customWidth="1"/>
    <col min="15110" max="15110" width="7.7109375" style="41" customWidth="1"/>
    <col min="15111" max="15111" width="28.85546875" style="41" customWidth="1"/>
    <col min="15112" max="15112" width="7.7109375" style="41" customWidth="1"/>
    <col min="15113" max="15113" width="33.5703125" style="41" bestFit="1" customWidth="1"/>
    <col min="15114" max="15362" width="9.140625" style="41"/>
    <col min="15363" max="15363" width="58.85546875" style="41" customWidth="1"/>
    <col min="15364" max="15364" width="7.7109375" style="41" customWidth="1"/>
    <col min="15365" max="15365" width="27.5703125" style="41" customWidth="1"/>
    <col min="15366" max="15366" width="7.7109375" style="41" customWidth="1"/>
    <col min="15367" max="15367" width="28.85546875" style="41" customWidth="1"/>
    <col min="15368" max="15368" width="7.7109375" style="41" customWidth="1"/>
    <col min="15369" max="15369" width="33.5703125" style="41" bestFit="1" customWidth="1"/>
    <col min="15370" max="15618" width="9.140625" style="41"/>
    <col min="15619" max="15619" width="58.85546875" style="41" customWidth="1"/>
    <col min="15620" max="15620" width="7.7109375" style="41" customWidth="1"/>
    <col min="15621" max="15621" width="27.5703125" style="41" customWidth="1"/>
    <col min="15622" max="15622" width="7.7109375" style="41" customWidth="1"/>
    <col min="15623" max="15623" width="28.85546875" style="41" customWidth="1"/>
    <col min="15624" max="15624" width="7.7109375" style="41" customWidth="1"/>
    <col min="15625" max="15625" width="33.5703125" style="41" bestFit="1" customWidth="1"/>
    <col min="15626" max="15874" width="9.140625" style="41"/>
    <col min="15875" max="15875" width="58.85546875" style="41" customWidth="1"/>
    <col min="15876" max="15876" width="7.7109375" style="41" customWidth="1"/>
    <col min="15877" max="15877" width="27.5703125" style="41" customWidth="1"/>
    <col min="15878" max="15878" width="7.7109375" style="41" customWidth="1"/>
    <col min="15879" max="15879" width="28.85546875" style="41" customWidth="1"/>
    <col min="15880" max="15880" width="7.7109375" style="41" customWidth="1"/>
    <col min="15881" max="15881" width="33.5703125" style="41" bestFit="1" customWidth="1"/>
    <col min="15882" max="16130" width="9.140625" style="41"/>
    <col min="16131" max="16131" width="58.85546875" style="41" customWidth="1"/>
    <col min="16132" max="16132" width="7.7109375" style="41" customWidth="1"/>
    <col min="16133" max="16133" width="27.5703125" style="41" customWidth="1"/>
    <col min="16134" max="16134" width="7.7109375" style="41" customWidth="1"/>
    <col min="16135" max="16135" width="28.85546875" style="41" customWidth="1"/>
    <col min="16136" max="16136" width="7.7109375" style="41" customWidth="1"/>
    <col min="16137" max="16137" width="33.5703125" style="41" bestFit="1" customWidth="1"/>
    <col min="16138" max="16384" width="9.140625" style="41"/>
  </cols>
  <sheetData>
    <row r="1" spans="2:9" ht="15.75" thickBot="1" x14ac:dyDescent="0.3"/>
    <row r="2" spans="2:9" ht="23.25" x14ac:dyDescent="0.25">
      <c r="B2" s="269" t="s">
        <v>41</v>
      </c>
      <c r="C2" s="270"/>
      <c r="D2" s="270"/>
      <c r="E2" s="270"/>
      <c r="F2" s="270"/>
      <c r="G2" s="270"/>
      <c r="H2" s="270"/>
      <c r="I2" s="271"/>
    </row>
    <row r="3" spans="2:9" ht="15.75" thickBot="1" x14ac:dyDescent="0.3">
      <c r="B3" s="42"/>
      <c r="C3" s="43"/>
      <c r="D3" s="43"/>
      <c r="E3" s="43"/>
      <c r="F3" s="43"/>
      <c r="G3" s="43"/>
      <c r="H3" s="43"/>
      <c r="I3" s="44"/>
    </row>
    <row r="4" spans="2:9" ht="15.75" thickBot="1" x14ac:dyDescent="0.3">
      <c r="B4" s="45"/>
      <c r="C4" s="46"/>
      <c r="D4" s="46"/>
      <c r="E4" s="46"/>
      <c r="F4" s="47"/>
      <c r="G4" s="46"/>
      <c r="H4" s="46"/>
      <c r="I4" s="48"/>
    </row>
    <row r="5" spans="2:9" ht="19.5" thickBot="1" x14ac:dyDescent="0.3">
      <c r="B5" s="49" t="s">
        <v>42</v>
      </c>
      <c r="C5" s="50" t="s">
        <v>43</v>
      </c>
      <c r="D5" s="51"/>
      <c r="E5" s="272" t="s">
        <v>93</v>
      </c>
      <c r="F5" s="272"/>
      <c r="G5" s="272"/>
      <c r="H5" s="272"/>
      <c r="I5" s="48"/>
    </row>
    <row r="6" spans="2:9" x14ac:dyDescent="0.25">
      <c r="B6" s="45"/>
      <c r="C6" s="46"/>
      <c r="D6" s="46"/>
      <c r="E6" s="273" t="s">
        <v>44</v>
      </c>
      <c r="F6" s="273"/>
      <c r="G6" s="273"/>
      <c r="H6" s="273"/>
      <c r="I6" s="48"/>
    </row>
    <row r="7" spans="2:9" ht="15.75" thickBot="1" x14ac:dyDescent="0.3">
      <c r="B7" s="52"/>
      <c r="C7" s="53"/>
      <c r="D7" s="53"/>
      <c r="E7" s="53"/>
      <c r="F7" s="53"/>
      <c r="G7" s="53"/>
      <c r="H7" s="53"/>
      <c r="I7" s="54"/>
    </row>
    <row r="8" spans="2:9" ht="19.5" thickBot="1" x14ac:dyDescent="0.3">
      <c r="B8" s="49" t="s">
        <v>45</v>
      </c>
      <c r="C8" s="55" t="s">
        <v>46</v>
      </c>
      <c r="D8" s="56"/>
      <c r="E8" s="57"/>
      <c r="F8" s="57"/>
      <c r="G8" s="57"/>
      <c r="H8" s="57"/>
      <c r="I8" s="58"/>
    </row>
    <row r="9" spans="2:9" ht="15.75" x14ac:dyDescent="0.25">
      <c r="B9" s="45"/>
      <c r="C9" s="59" t="s">
        <v>47</v>
      </c>
      <c r="D9" s="60"/>
      <c r="E9" s="61" t="s">
        <v>48</v>
      </c>
      <c r="F9" s="46"/>
      <c r="G9" s="47" t="s">
        <v>49</v>
      </c>
      <c r="H9" s="46"/>
      <c r="I9" s="48"/>
    </row>
    <row r="10" spans="2:9" ht="15.75" x14ac:dyDescent="0.25">
      <c r="B10" s="45"/>
      <c r="C10" s="59" t="s">
        <v>50</v>
      </c>
      <c r="D10" s="60"/>
      <c r="E10" s="61" t="s">
        <v>51</v>
      </c>
      <c r="F10" s="46"/>
      <c r="G10" s="47" t="s">
        <v>52</v>
      </c>
      <c r="H10" s="46"/>
      <c r="I10" s="48"/>
    </row>
    <row r="11" spans="2:9" ht="15.75" thickBot="1" x14ac:dyDescent="0.3">
      <c r="B11" s="52"/>
      <c r="C11" s="53"/>
      <c r="D11" s="53"/>
      <c r="E11" s="53"/>
      <c r="F11" s="53"/>
      <c r="G11" s="53"/>
      <c r="H11" s="53"/>
      <c r="I11" s="54"/>
    </row>
    <row r="12" spans="2:9" ht="19.5" thickBot="1" x14ac:dyDescent="0.3">
      <c r="B12" s="49" t="s">
        <v>53</v>
      </c>
      <c r="C12" s="55" t="s">
        <v>54</v>
      </c>
      <c r="D12" s="56"/>
      <c r="E12" s="62"/>
      <c r="F12" s="57"/>
      <c r="G12" s="57"/>
      <c r="H12" s="57"/>
      <c r="I12" s="58"/>
    </row>
    <row r="13" spans="2:9" ht="15.75" x14ac:dyDescent="0.25">
      <c r="B13" s="45"/>
      <c r="C13" s="59" t="s">
        <v>55</v>
      </c>
      <c r="D13" s="60"/>
      <c r="E13" s="61" t="s">
        <v>56</v>
      </c>
      <c r="F13" s="63"/>
      <c r="G13" s="47" t="s">
        <v>49</v>
      </c>
      <c r="H13" s="46"/>
      <c r="I13" s="48"/>
    </row>
    <row r="14" spans="2:9" ht="15.75" x14ac:dyDescent="0.25">
      <c r="B14" s="45"/>
      <c r="C14" s="59" t="s">
        <v>57</v>
      </c>
      <c r="D14" s="60"/>
      <c r="E14" s="61" t="s">
        <v>58</v>
      </c>
      <c r="F14" s="63"/>
      <c r="G14" s="47" t="s">
        <v>52</v>
      </c>
      <c r="H14" s="46"/>
      <c r="I14" s="48"/>
    </row>
    <row r="15" spans="2:9" ht="16.5" thickBot="1" x14ac:dyDescent="0.3">
      <c r="B15" s="52"/>
      <c r="C15" s="53"/>
      <c r="D15" s="53"/>
      <c r="E15" s="53"/>
      <c r="F15" s="64"/>
      <c r="G15" s="53"/>
      <c r="H15" s="53"/>
      <c r="I15" s="54"/>
    </row>
    <row r="16" spans="2:9" x14ac:dyDescent="0.25">
      <c r="B16" s="45"/>
      <c r="C16" s="46"/>
      <c r="D16" s="46"/>
      <c r="E16" s="46"/>
      <c r="F16" s="46"/>
      <c r="G16" s="46"/>
      <c r="H16" s="46"/>
      <c r="I16" s="48"/>
    </row>
    <row r="17" spans="2:9" ht="15.75" x14ac:dyDescent="0.25">
      <c r="B17" s="274" t="s">
        <v>59</v>
      </c>
      <c r="C17" s="275"/>
      <c r="D17" s="275"/>
      <c r="E17" s="275"/>
      <c r="F17" s="275"/>
      <c r="G17" s="275"/>
      <c r="H17" s="275"/>
      <c r="I17" s="276"/>
    </row>
    <row r="18" spans="2:9" ht="15.75" x14ac:dyDescent="0.25">
      <c r="B18" s="65"/>
      <c r="C18" s="277" t="s">
        <v>60</v>
      </c>
      <c r="D18" s="277"/>
      <c r="E18" s="277"/>
      <c r="F18" s="277"/>
      <c r="G18" s="277"/>
      <c r="H18" s="277"/>
      <c r="I18" s="278"/>
    </row>
    <row r="19" spans="2:9" ht="15.75" thickBot="1" x14ac:dyDescent="0.3">
      <c r="B19" s="52"/>
      <c r="C19" s="53"/>
      <c r="D19" s="53"/>
      <c r="E19" s="53"/>
      <c r="F19" s="53"/>
      <c r="G19" s="66"/>
      <c r="H19" s="53"/>
      <c r="I19" s="54"/>
    </row>
    <row r="20" spans="2:9" ht="19.5" thickBot="1" x14ac:dyDescent="0.3">
      <c r="B20" s="67" t="s">
        <v>61</v>
      </c>
      <c r="C20" s="68" t="s">
        <v>62</v>
      </c>
      <c r="D20" s="67" t="s">
        <v>63</v>
      </c>
      <c r="E20" s="279" t="s">
        <v>64</v>
      </c>
      <c r="F20" s="280"/>
      <c r="G20" s="281"/>
      <c r="H20" s="67" t="s">
        <v>65</v>
      </c>
      <c r="I20" s="69" t="s">
        <v>66</v>
      </c>
    </row>
    <row r="21" spans="2:9" ht="16.5" thickBot="1" x14ac:dyDescent="0.3">
      <c r="B21" s="52"/>
      <c r="C21" s="70" t="s">
        <v>67</v>
      </c>
      <c r="D21" s="71"/>
      <c r="E21" s="282" t="s">
        <v>68</v>
      </c>
      <c r="F21" s="282"/>
      <c r="G21" s="283"/>
      <c r="H21" s="284" t="s">
        <v>69</v>
      </c>
      <c r="I21" s="285"/>
    </row>
    <row r="22" spans="2:9" ht="15.75" x14ac:dyDescent="0.25">
      <c r="B22" s="45"/>
      <c r="C22" s="48"/>
      <c r="D22" s="72"/>
      <c r="E22" s="73" t="s">
        <v>70</v>
      </c>
      <c r="F22" s="74"/>
      <c r="G22" s="73" t="s">
        <v>71</v>
      </c>
      <c r="H22" s="72"/>
      <c r="I22" s="73" t="s">
        <v>72</v>
      </c>
    </row>
    <row r="23" spans="2:9" ht="15.75" x14ac:dyDescent="0.25">
      <c r="B23" s="45"/>
      <c r="C23" s="48"/>
      <c r="D23" s="75" t="s">
        <v>73</v>
      </c>
      <c r="E23" s="76" t="str">
        <f>+E9</f>
        <v>Junk Food</v>
      </c>
      <c r="F23" s="75" t="s">
        <v>73</v>
      </c>
      <c r="G23" s="76" t="str">
        <f>+E13</f>
        <v>Limited Choice</v>
      </c>
      <c r="H23" s="75" t="s">
        <v>73</v>
      </c>
      <c r="I23" s="76" t="s">
        <v>74</v>
      </c>
    </row>
    <row r="24" spans="2:9" ht="15.75" x14ac:dyDescent="0.25">
      <c r="B24" s="45"/>
      <c r="C24" s="48"/>
      <c r="D24" s="75" t="s">
        <v>75</v>
      </c>
      <c r="E24" s="76" t="s">
        <v>76</v>
      </c>
      <c r="F24" s="75" t="s">
        <v>75</v>
      </c>
      <c r="G24" s="76" t="s">
        <v>76</v>
      </c>
      <c r="H24" s="75" t="s">
        <v>77</v>
      </c>
      <c r="I24" s="76" t="s">
        <v>78</v>
      </c>
    </row>
    <row r="25" spans="2:9" ht="16.5" thickBot="1" x14ac:dyDescent="0.3">
      <c r="B25" s="52"/>
      <c r="C25" s="77" t="s">
        <v>79</v>
      </c>
      <c r="D25" s="78" t="s">
        <v>80</v>
      </c>
      <c r="E25" s="79" t="str">
        <f>+E10</f>
        <v>Healthy</v>
      </c>
      <c r="F25" s="78" t="s">
        <v>80</v>
      </c>
      <c r="G25" s="79" t="str">
        <f>+E14</f>
        <v>Wide Choice</v>
      </c>
      <c r="H25" s="78" t="s">
        <v>81</v>
      </c>
      <c r="I25" s="79" t="s">
        <v>82</v>
      </c>
    </row>
    <row r="26" spans="2:9" ht="15.75" x14ac:dyDescent="0.25">
      <c r="B26" s="80">
        <v>1</v>
      </c>
      <c r="C26" s="81" t="str">
        <f>+'Weighted approach'!X19</f>
        <v>Coke</v>
      </c>
      <c r="D26" s="82"/>
      <c r="E26" s="153">
        <f>+'Weighted approach'!U19</f>
        <v>4.5</v>
      </c>
      <c r="F26" s="83"/>
      <c r="G26" s="158">
        <f>+'Weighted approach'!V19</f>
        <v>4.5</v>
      </c>
      <c r="H26" s="84"/>
      <c r="I26" s="85">
        <v>2</v>
      </c>
    </row>
    <row r="27" spans="2:9" ht="15.75" x14ac:dyDescent="0.25">
      <c r="B27" s="71">
        <v>2</v>
      </c>
      <c r="C27" s="86" t="str">
        <f>+'Weighted approach'!X20</f>
        <v>Pepsi</v>
      </c>
      <c r="D27" s="71"/>
      <c r="E27" s="154">
        <f>+'Weighted approach'!U20</f>
        <v>4.5</v>
      </c>
      <c r="F27" s="87"/>
      <c r="G27" s="154">
        <f>+'Weighted approach'!V20</f>
        <v>4.5</v>
      </c>
      <c r="H27" s="88"/>
      <c r="I27" s="89">
        <v>2</v>
      </c>
    </row>
    <row r="28" spans="2:9" ht="15.75" x14ac:dyDescent="0.25">
      <c r="B28" s="71">
        <v>3</v>
      </c>
      <c r="C28" s="86" t="str">
        <f>+'Weighted approach'!X21</f>
        <v>Mt Dew</v>
      </c>
      <c r="D28" s="71"/>
      <c r="E28" s="154">
        <f>+'Weighted approach'!U21</f>
        <v>4.4999000000000002</v>
      </c>
      <c r="F28" s="87"/>
      <c r="G28" s="154">
        <f>+'Weighted approach'!V21</f>
        <v>7.4999000000000002</v>
      </c>
      <c r="H28" s="88"/>
      <c r="I28" s="89">
        <v>2</v>
      </c>
    </row>
    <row r="29" spans="2:9" ht="15.75" x14ac:dyDescent="0.25">
      <c r="B29" s="71">
        <v>4</v>
      </c>
      <c r="C29" s="90" t="str">
        <f>+'Weighted approach'!X22</f>
        <v>7 Up</v>
      </c>
      <c r="D29" s="71"/>
      <c r="E29" s="155">
        <f>+'Weighted approach'!U22</f>
        <v>4.5</v>
      </c>
      <c r="F29" s="87"/>
      <c r="G29" s="155">
        <f>+'Weighted approach'!V22</f>
        <v>4.5</v>
      </c>
      <c r="H29" s="88"/>
      <c r="I29" s="89">
        <v>2</v>
      </c>
    </row>
    <row r="30" spans="2:9" ht="16.5" thickBot="1" x14ac:dyDescent="0.3">
      <c r="B30" s="91">
        <v>5</v>
      </c>
      <c r="C30" s="92" t="str">
        <f>+'Weighted approach'!X23</f>
        <v>Fanta</v>
      </c>
      <c r="D30" s="91"/>
      <c r="E30" s="156">
        <f>+'Weighted approach'!U23</f>
        <v>6.5000999999999998</v>
      </c>
      <c r="F30" s="94"/>
      <c r="G30" s="156">
        <f>+'Weighted approach'!V23</f>
        <v>3.5001000000000002</v>
      </c>
      <c r="H30" s="95"/>
      <c r="I30" s="93">
        <v>2</v>
      </c>
    </row>
    <row r="31" spans="2:9" ht="15.75" x14ac:dyDescent="0.25">
      <c r="B31" s="80">
        <v>6</v>
      </c>
      <c r="C31" s="96" t="str">
        <f>+'Weighted approach'!X24</f>
        <v>Coke Zero</v>
      </c>
      <c r="D31" s="80"/>
      <c r="E31" s="157">
        <f>+'Weighted approach'!U24</f>
        <v>5</v>
      </c>
      <c r="F31" s="80"/>
      <c r="G31" s="157">
        <f>+'Weighted approach'!V24</f>
        <v>5</v>
      </c>
      <c r="H31" s="84"/>
      <c r="I31" s="85">
        <v>2</v>
      </c>
    </row>
    <row r="32" spans="2:9" ht="15.75" x14ac:dyDescent="0.25">
      <c r="B32" s="71">
        <v>7</v>
      </c>
      <c r="C32" s="90" t="str">
        <f>+'Weighted approach'!X25</f>
        <v>Diet Coke</v>
      </c>
      <c r="D32" s="71"/>
      <c r="E32" s="155">
        <f>+'Weighted approach'!U25</f>
        <v>2</v>
      </c>
      <c r="F32" s="71"/>
      <c r="G32" s="155">
        <f>+'Weighted approach'!V25</f>
        <v>2</v>
      </c>
      <c r="H32" s="88"/>
      <c r="I32" s="89">
        <v>2</v>
      </c>
    </row>
    <row r="33" spans="2:9" ht="15.75" x14ac:dyDescent="0.25">
      <c r="B33" s="71">
        <v>8</v>
      </c>
      <c r="C33" s="90"/>
      <c r="D33" s="71"/>
      <c r="E33" s="89"/>
      <c r="F33" s="71"/>
      <c r="G33" s="89"/>
      <c r="H33" s="88"/>
      <c r="I33" s="89">
        <v>2</v>
      </c>
    </row>
    <row r="34" spans="2:9" ht="15.75" x14ac:dyDescent="0.25">
      <c r="B34" s="71">
        <v>9</v>
      </c>
      <c r="C34" s="90"/>
      <c r="D34" s="71"/>
      <c r="E34" s="89"/>
      <c r="F34" s="71"/>
      <c r="G34" s="89"/>
      <c r="H34" s="88"/>
      <c r="I34" s="89">
        <v>2</v>
      </c>
    </row>
    <row r="35" spans="2:9" ht="16.5" thickBot="1" x14ac:dyDescent="0.3">
      <c r="B35" s="91">
        <v>10</v>
      </c>
      <c r="C35" s="92"/>
      <c r="D35" s="91"/>
      <c r="E35" s="93"/>
      <c r="F35" s="91"/>
      <c r="G35" s="93"/>
      <c r="H35" s="95"/>
      <c r="I35" s="93">
        <v>2</v>
      </c>
    </row>
    <row r="36" spans="2:9" ht="15.75" x14ac:dyDescent="0.25">
      <c r="B36" s="71">
        <v>11</v>
      </c>
      <c r="C36" s="90"/>
      <c r="D36" s="71"/>
      <c r="E36" s="89"/>
      <c r="F36" s="71"/>
      <c r="G36" s="89"/>
      <c r="H36" s="88"/>
      <c r="I36" s="85">
        <v>2</v>
      </c>
    </row>
    <row r="37" spans="2:9" ht="15.75" x14ac:dyDescent="0.25">
      <c r="B37" s="71">
        <v>12</v>
      </c>
      <c r="C37" s="90"/>
      <c r="D37" s="71"/>
      <c r="E37" s="89"/>
      <c r="F37" s="71"/>
      <c r="G37" s="89"/>
      <c r="H37" s="88"/>
      <c r="I37" s="89">
        <v>2</v>
      </c>
    </row>
    <row r="38" spans="2:9" ht="15.75" x14ac:dyDescent="0.25">
      <c r="B38" s="71">
        <v>13</v>
      </c>
      <c r="C38" s="90"/>
      <c r="D38" s="71"/>
      <c r="E38" s="89"/>
      <c r="F38" s="71"/>
      <c r="G38" s="89"/>
      <c r="H38" s="88"/>
      <c r="I38" s="89">
        <v>2</v>
      </c>
    </row>
    <row r="39" spans="2:9" ht="15.75" x14ac:dyDescent="0.25">
      <c r="B39" s="71">
        <v>14</v>
      </c>
      <c r="C39" s="90"/>
      <c r="D39" s="71"/>
      <c r="E39" s="89"/>
      <c r="F39" s="71"/>
      <c r="G39" s="89"/>
      <c r="H39" s="88"/>
      <c r="I39" s="89">
        <v>2</v>
      </c>
    </row>
    <row r="40" spans="2:9" ht="16.5" thickBot="1" x14ac:dyDescent="0.3">
      <c r="B40" s="71">
        <v>15</v>
      </c>
      <c r="C40" s="90"/>
      <c r="D40" s="71"/>
      <c r="E40" s="89"/>
      <c r="F40" s="71"/>
      <c r="G40" s="89"/>
      <c r="H40" s="88"/>
      <c r="I40" s="93">
        <v>2</v>
      </c>
    </row>
    <row r="41" spans="2:9" ht="15.75" x14ac:dyDescent="0.25">
      <c r="B41" s="80">
        <v>16</v>
      </c>
      <c r="C41" s="96"/>
      <c r="D41" s="80"/>
      <c r="E41" s="85"/>
      <c r="F41" s="80"/>
      <c r="G41" s="85"/>
      <c r="H41" s="84"/>
      <c r="I41" s="85">
        <v>2</v>
      </c>
    </row>
    <row r="42" spans="2:9" ht="15.75" x14ac:dyDescent="0.25">
      <c r="B42" s="71">
        <v>17</v>
      </c>
      <c r="C42" s="90"/>
      <c r="D42" s="71"/>
      <c r="E42" s="89"/>
      <c r="F42" s="71"/>
      <c r="G42" s="89"/>
      <c r="H42" s="88"/>
      <c r="I42" s="89">
        <v>2</v>
      </c>
    </row>
    <row r="43" spans="2:9" ht="15.75" x14ac:dyDescent="0.25">
      <c r="B43" s="71">
        <v>18</v>
      </c>
      <c r="C43" s="90"/>
      <c r="D43" s="71"/>
      <c r="E43" s="89"/>
      <c r="F43" s="71"/>
      <c r="G43" s="89"/>
      <c r="H43" s="88"/>
      <c r="I43" s="89">
        <v>2</v>
      </c>
    </row>
    <row r="44" spans="2:9" ht="15.75" x14ac:dyDescent="0.25">
      <c r="B44" s="71">
        <v>19</v>
      </c>
      <c r="C44" s="90"/>
      <c r="D44" s="71"/>
      <c r="E44" s="89"/>
      <c r="F44" s="71"/>
      <c r="G44" s="89"/>
      <c r="H44" s="88"/>
      <c r="I44" s="89">
        <v>2</v>
      </c>
    </row>
    <row r="45" spans="2:9" ht="16.5" thickBot="1" x14ac:dyDescent="0.3">
      <c r="B45" s="91">
        <v>20</v>
      </c>
      <c r="C45" s="92"/>
      <c r="D45" s="91"/>
      <c r="E45" s="93"/>
      <c r="F45" s="91"/>
      <c r="G45" s="93"/>
      <c r="H45" s="95"/>
      <c r="I45" s="93">
        <v>2</v>
      </c>
    </row>
    <row r="46" spans="2:9" ht="15.75" x14ac:dyDescent="0.25">
      <c r="B46" s="71">
        <v>21</v>
      </c>
      <c r="C46" s="90"/>
      <c r="D46" s="71"/>
      <c r="E46" s="89"/>
      <c r="F46" s="71"/>
      <c r="G46" s="89"/>
      <c r="H46" s="88"/>
      <c r="I46" s="85">
        <v>2</v>
      </c>
    </row>
    <row r="47" spans="2:9" ht="15.75" x14ac:dyDescent="0.25">
      <c r="B47" s="71">
        <v>22</v>
      </c>
      <c r="C47" s="90"/>
      <c r="D47" s="87"/>
      <c r="E47" s="89"/>
      <c r="F47" s="71"/>
      <c r="G47" s="89"/>
      <c r="H47" s="88"/>
      <c r="I47" s="89">
        <v>2</v>
      </c>
    </row>
    <row r="48" spans="2:9" ht="15.75" x14ac:dyDescent="0.25">
      <c r="B48" s="71">
        <v>23</v>
      </c>
      <c r="C48" s="90"/>
      <c r="D48" s="45"/>
      <c r="E48" s="89"/>
      <c r="F48" s="71"/>
      <c r="G48" s="89"/>
      <c r="H48" s="88"/>
      <c r="I48" s="89">
        <v>2</v>
      </c>
    </row>
    <row r="49" spans="2:9" ht="15.75" x14ac:dyDescent="0.25">
      <c r="B49" s="71">
        <v>24</v>
      </c>
      <c r="C49" s="90"/>
      <c r="D49" s="45"/>
      <c r="E49" s="89"/>
      <c r="F49" s="71"/>
      <c r="G49" s="89"/>
      <c r="H49" s="88"/>
      <c r="I49" s="89">
        <v>2</v>
      </c>
    </row>
    <row r="50" spans="2:9" ht="16.5" thickBot="1" x14ac:dyDescent="0.3">
      <c r="B50" s="91">
        <v>25</v>
      </c>
      <c r="C50" s="92"/>
      <c r="D50" s="52"/>
      <c r="E50" s="93"/>
      <c r="F50" s="91"/>
      <c r="G50" s="93"/>
      <c r="H50" s="95"/>
      <c r="I50" s="93">
        <v>2</v>
      </c>
    </row>
    <row r="51" spans="2:9" ht="16.5" thickBot="1" x14ac:dyDescent="0.3">
      <c r="E51" s="97"/>
      <c r="F51" s="97"/>
    </row>
    <row r="52" spans="2:9" ht="16.5" thickBot="1" x14ac:dyDescent="0.3">
      <c r="B52" s="82"/>
      <c r="C52" s="98"/>
      <c r="D52" s="98"/>
      <c r="E52" s="99"/>
      <c r="F52" s="99"/>
      <c r="G52" s="98"/>
      <c r="H52" s="98"/>
      <c r="I52" s="100"/>
    </row>
    <row r="53" spans="2:9" ht="19.5" thickBot="1" x14ac:dyDescent="0.3">
      <c r="B53" s="49" t="s">
        <v>83</v>
      </c>
      <c r="C53" s="286" t="s">
        <v>84</v>
      </c>
      <c r="D53" s="287"/>
      <c r="E53" s="287"/>
      <c r="F53" s="287"/>
      <c r="G53" s="287"/>
      <c r="H53" s="287"/>
      <c r="I53" s="288"/>
    </row>
    <row r="54" spans="2:9" ht="19.5" thickBot="1" x14ac:dyDescent="0.3">
      <c r="B54" s="52"/>
      <c r="C54" s="289"/>
      <c r="D54" s="289"/>
      <c r="E54" s="289"/>
      <c r="F54" s="289"/>
      <c r="G54" s="289"/>
      <c r="H54" s="289"/>
      <c r="I54" s="290"/>
    </row>
    <row r="60" spans="2:9" ht="15.75" thickBot="1" x14ac:dyDescent="0.3"/>
    <row r="61" spans="2:9" ht="15.75" customHeight="1" x14ac:dyDescent="0.25">
      <c r="H61" s="291" t="s">
        <v>85</v>
      </c>
      <c r="I61" s="292"/>
    </row>
    <row r="62" spans="2:9" ht="15.75" customHeight="1" thickBot="1" x14ac:dyDescent="0.3">
      <c r="H62" s="267" t="s">
        <v>86</v>
      </c>
      <c r="I62" s="268"/>
    </row>
    <row r="63" spans="2:9" ht="15.75" x14ac:dyDescent="0.25">
      <c r="H63" s="101"/>
      <c r="I63" s="102"/>
    </row>
    <row r="64" spans="2:9" ht="15.75" x14ac:dyDescent="0.25">
      <c r="H64" s="101">
        <v>1</v>
      </c>
      <c r="I64" s="102" t="s">
        <v>87</v>
      </c>
    </row>
    <row r="65" spans="8:9" ht="15.75" x14ac:dyDescent="0.25">
      <c r="H65" s="101"/>
      <c r="I65" s="102" t="s">
        <v>88</v>
      </c>
    </row>
    <row r="66" spans="8:9" x14ac:dyDescent="0.25">
      <c r="H66" s="103"/>
      <c r="I66" s="104"/>
    </row>
    <row r="67" spans="8:9" ht="15.75" x14ac:dyDescent="0.25">
      <c r="H67" s="101">
        <v>2</v>
      </c>
      <c r="I67" s="102" t="s">
        <v>89</v>
      </c>
    </row>
    <row r="68" spans="8:9" ht="15.75" x14ac:dyDescent="0.25">
      <c r="H68" s="101"/>
      <c r="I68" s="102"/>
    </row>
    <row r="69" spans="8:9" ht="15.75" x14ac:dyDescent="0.25">
      <c r="H69" s="101">
        <v>3</v>
      </c>
      <c r="I69" s="102" t="s">
        <v>90</v>
      </c>
    </row>
    <row r="70" spans="8:9" ht="15.75" x14ac:dyDescent="0.25">
      <c r="H70" s="101"/>
      <c r="I70" s="102"/>
    </row>
    <row r="71" spans="8:9" ht="15.75" x14ac:dyDescent="0.25">
      <c r="H71" s="101">
        <v>4</v>
      </c>
      <c r="I71" s="102" t="s">
        <v>91</v>
      </c>
    </row>
    <row r="72" spans="8:9" ht="16.5" thickBot="1" x14ac:dyDescent="0.3">
      <c r="H72" s="105"/>
      <c r="I72" s="106" t="s">
        <v>92</v>
      </c>
    </row>
  </sheetData>
  <protectedRanges>
    <protectedRange sqref="E5" name="Chart Title_1"/>
    <protectedRange sqref="E9:E10" name="Horizontal Axis_1"/>
    <protectedRange sqref="E13:E14" name="Vertical Axis_1"/>
    <protectedRange sqref="C26:C50" name="Brands_1"/>
    <protectedRange sqref="E26:E50" name="Horizontal Scores_1"/>
    <protectedRange sqref="G26:G50" name="Vertical Scores_1"/>
    <protectedRange sqref="I26:I50" name="Sizes_1"/>
  </protectedRanges>
  <mergeCells count="12">
    <mergeCell ref="H62:I62"/>
    <mergeCell ref="B2:I2"/>
    <mergeCell ref="E5:H5"/>
    <mergeCell ref="E6:H6"/>
    <mergeCell ref="B17:I17"/>
    <mergeCell ref="C18:I18"/>
    <mergeCell ref="E20:G20"/>
    <mergeCell ref="E21:G21"/>
    <mergeCell ref="H21:I21"/>
    <mergeCell ref="C53:I53"/>
    <mergeCell ref="C54:I54"/>
    <mergeCell ref="H61:I61"/>
  </mergeCells>
  <dataValidations count="3">
    <dataValidation type="whole" errorStyle="information" allowBlank="1" showInputMessage="1" showErrorMessage="1" errorTitle="Outside of range" error="Enter a number from 1 to 3 only" sqref="I26:I50 JE26:JE50 TA26:TA50 ACW26:ACW50 AMS26:AMS50 AWO26:AWO50 BGK26:BGK50 BQG26:BQG50 CAC26:CAC50 CJY26:CJY50 CTU26:CTU50 DDQ26:DDQ50 DNM26:DNM50 DXI26:DXI50 EHE26:EHE50 ERA26:ERA50 FAW26:FAW50 FKS26:FKS50 FUO26:FUO50 GEK26:GEK50 GOG26:GOG50 GYC26:GYC50 HHY26:HHY50 HRU26:HRU50 IBQ26:IBQ50 ILM26:ILM50 IVI26:IVI50 JFE26:JFE50 JPA26:JPA50 JYW26:JYW50 KIS26:KIS50 KSO26:KSO50 LCK26:LCK50 LMG26:LMG50 LWC26:LWC50 MFY26:MFY50 MPU26:MPU50 MZQ26:MZQ50 NJM26:NJM50 NTI26:NTI50 ODE26:ODE50 ONA26:ONA50 OWW26:OWW50 PGS26:PGS50 PQO26:PQO50 QAK26:QAK50 QKG26:QKG50 QUC26:QUC50 RDY26:RDY50 RNU26:RNU50 RXQ26:RXQ50 SHM26:SHM50 SRI26:SRI50 TBE26:TBE50 TLA26:TLA50 TUW26:TUW50 UES26:UES50 UOO26:UOO50 UYK26:UYK50 VIG26:VIG50 VSC26:VSC50 WBY26:WBY50 WLU26:WLU50 WVQ26:WVQ50 I65562:I65586 JE65562:JE65586 TA65562:TA65586 ACW65562:ACW65586 AMS65562:AMS65586 AWO65562:AWO65586 BGK65562:BGK65586 BQG65562:BQG65586 CAC65562:CAC65586 CJY65562:CJY65586 CTU65562:CTU65586 DDQ65562:DDQ65586 DNM65562:DNM65586 DXI65562:DXI65586 EHE65562:EHE65586 ERA65562:ERA65586 FAW65562:FAW65586 FKS65562:FKS65586 FUO65562:FUO65586 GEK65562:GEK65586 GOG65562:GOG65586 GYC65562:GYC65586 HHY65562:HHY65586 HRU65562:HRU65586 IBQ65562:IBQ65586 ILM65562:ILM65586 IVI65562:IVI65586 JFE65562:JFE65586 JPA65562:JPA65586 JYW65562:JYW65586 KIS65562:KIS65586 KSO65562:KSO65586 LCK65562:LCK65586 LMG65562:LMG65586 LWC65562:LWC65586 MFY65562:MFY65586 MPU65562:MPU65586 MZQ65562:MZQ65586 NJM65562:NJM65586 NTI65562:NTI65586 ODE65562:ODE65586 ONA65562:ONA65586 OWW65562:OWW65586 PGS65562:PGS65586 PQO65562:PQO65586 QAK65562:QAK65586 QKG65562:QKG65586 QUC65562:QUC65586 RDY65562:RDY65586 RNU65562:RNU65586 RXQ65562:RXQ65586 SHM65562:SHM65586 SRI65562:SRI65586 TBE65562:TBE65586 TLA65562:TLA65586 TUW65562:TUW65586 UES65562:UES65586 UOO65562:UOO65586 UYK65562:UYK65586 VIG65562:VIG65586 VSC65562:VSC65586 WBY65562:WBY65586 WLU65562:WLU65586 WVQ65562:WVQ65586 I131098:I131122 JE131098:JE131122 TA131098:TA131122 ACW131098:ACW131122 AMS131098:AMS131122 AWO131098:AWO131122 BGK131098:BGK131122 BQG131098:BQG131122 CAC131098:CAC131122 CJY131098:CJY131122 CTU131098:CTU131122 DDQ131098:DDQ131122 DNM131098:DNM131122 DXI131098:DXI131122 EHE131098:EHE131122 ERA131098:ERA131122 FAW131098:FAW131122 FKS131098:FKS131122 FUO131098:FUO131122 GEK131098:GEK131122 GOG131098:GOG131122 GYC131098:GYC131122 HHY131098:HHY131122 HRU131098:HRU131122 IBQ131098:IBQ131122 ILM131098:ILM131122 IVI131098:IVI131122 JFE131098:JFE131122 JPA131098:JPA131122 JYW131098:JYW131122 KIS131098:KIS131122 KSO131098:KSO131122 LCK131098:LCK131122 LMG131098:LMG131122 LWC131098:LWC131122 MFY131098:MFY131122 MPU131098:MPU131122 MZQ131098:MZQ131122 NJM131098:NJM131122 NTI131098:NTI131122 ODE131098:ODE131122 ONA131098:ONA131122 OWW131098:OWW131122 PGS131098:PGS131122 PQO131098:PQO131122 QAK131098:QAK131122 QKG131098:QKG131122 QUC131098:QUC131122 RDY131098:RDY131122 RNU131098:RNU131122 RXQ131098:RXQ131122 SHM131098:SHM131122 SRI131098:SRI131122 TBE131098:TBE131122 TLA131098:TLA131122 TUW131098:TUW131122 UES131098:UES131122 UOO131098:UOO131122 UYK131098:UYK131122 VIG131098:VIG131122 VSC131098:VSC131122 WBY131098:WBY131122 WLU131098:WLU131122 WVQ131098:WVQ131122 I196634:I196658 JE196634:JE196658 TA196634:TA196658 ACW196634:ACW196658 AMS196634:AMS196658 AWO196634:AWO196658 BGK196634:BGK196658 BQG196634:BQG196658 CAC196634:CAC196658 CJY196634:CJY196658 CTU196634:CTU196658 DDQ196634:DDQ196658 DNM196634:DNM196658 DXI196634:DXI196658 EHE196634:EHE196658 ERA196634:ERA196658 FAW196634:FAW196658 FKS196634:FKS196658 FUO196634:FUO196658 GEK196634:GEK196658 GOG196634:GOG196658 GYC196634:GYC196658 HHY196634:HHY196658 HRU196634:HRU196658 IBQ196634:IBQ196658 ILM196634:ILM196658 IVI196634:IVI196658 JFE196634:JFE196658 JPA196634:JPA196658 JYW196634:JYW196658 KIS196634:KIS196658 KSO196634:KSO196658 LCK196634:LCK196658 LMG196634:LMG196658 LWC196634:LWC196658 MFY196634:MFY196658 MPU196634:MPU196658 MZQ196634:MZQ196658 NJM196634:NJM196658 NTI196634:NTI196658 ODE196634:ODE196658 ONA196634:ONA196658 OWW196634:OWW196658 PGS196634:PGS196658 PQO196634:PQO196658 QAK196634:QAK196658 QKG196634:QKG196658 QUC196634:QUC196658 RDY196634:RDY196658 RNU196634:RNU196658 RXQ196634:RXQ196658 SHM196634:SHM196658 SRI196634:SRI196658 TBE196634:TBE196658 TLA196634:TLA196658 TUW196634:TUW196658 UES196634:UES196658 UOO196634:UOO196658 UYK196634:UYK196658 VIG196634:VIG196658 VSC196634:VSC196658 WBY196634:WBY196658 WLU196634:WLU196658 WVQ196634:WVQ196658 I262170:I262194 JE262170:JE262194 TA262170:TA262194 ACW262170:ACW262194 AMS262170:AMS262194 AWO262170:AWO262194 BGK262170:BGK262194 BQG262170:BQG262194 CAC262170:CAC262194 CJY262170:CJY262194 CTU262170:CTU262194 DDQ262170:DDQ262194 DNM262170:DNM262194 DXI262170:DXI262194 EHE262170:EHE262194 ERA262170:ERA262194 FAW262170:FAW262194 FKS262170:FKS262194 FUO262170:FUO262194 GEK262170:GEK262194 GOG262170:GOG262194 GYC262170:GYC262194 HHY262170:HHY262194 HRU262170:HRU262194 IBQ262170:IBQ262194 ILM262170:ILM262194 IVI262170:IVI262194 JFE262170:JFE262194 JPA262170:JPA262194 JYW262170:JYW262194 KIS262170:KIS262194 KSO262170:KSO262194 LCK262170:LCK262194 LMG262170:LMG262194 LWC262170:LWC262194 MFY262170:MFY262194 MPU262170:MPU262194 MZQ262170:MZQ262194 NJM262170:NJM262194 NTI262170:NTI262194 ODE262170:ODE262194 ONA262170:ONA262194 OWW262170:OWW262194 PGS262170:PGS262194 PQO262170:PQO262194 QAK262170:QAK262194 QKG262170:QKG262194 QUC262170:QUC262194 RDY262170:RDY262194 RNU262170:RNU262194 RXQ262170:RXQ262194 SHM262170:SHM262194 SRI262170:SRI262194 TBE262170:TBE262194 TLA262170:TLA262194 TUW262170:TUW262194 UES262170:UES262194 UOO262170:UOO262194 UYK262170:UYK262194 VIG262170:VIG262194 VSC262170:VSC262194 WBY262170:WBY262194 WLU262170:WLU262194 WVQ262170:WVQ262194 I327706:I327730 JE327706:JE327730 TA327706:TA327730 ACW327706:ACW327730 AMS327706:AMS327730 AWO327706:AWO327730 BGK327706:BGK327730 BQG327706:BQG327730 CAC327706:CAC327730 CJY327706:CJY327730 CTU327706:CTU327730 DDQ327706:DDQ327730 DNM327706:DNM327730 DXI327706:DXI327730 EHE327706:EHE327730 ERA327706:ERA327730 FAW327706:FAW327730 FKS327706:FKS327730 FUO327706:FUO327730 GEK327706:GEK327730 GOG327706:GOG327730 GYC327706:GYC327730 HHY327706:HHY327730 HRU327706:HRU327730 IBQ327706:IBQ327730 ILM327706:ILM327730 IVI327706:IVI327730 JFE327706:JFE327730 JPA327706:JPA327730 JYW327706:JYW327730 KIS327706:KIS327730 KSO327706:KSO327730 LCK327706:LCK327730 LMG327706:LMG327730 LWC327706:LWC327730 MFY327706:MFY327730 MPU327706:MPU327730 MZQ327706:MZQ327730 NJM327706:NJM327730 NTI327706:NTI327730 ODE327706:ODE327730 ONA327706:ONA327730 OWW327706:OWW327730 PGS327706:PGS327730 PQO327706:PQO327730 QAK327706:QAK327730 QKG327706:QKG327730 QUC327706:QUC327730 RDY327706:RDY327730 RNU327706:RNU327730 RXQ327706:RXQ327730 SHM327706:SHM327730 SRI327706:SRI327730 TBE327706:TBE327730 TLA327706:TLA327730 TUW327706:TUW327730 UES327706:UES327730 UOO327706:UOO327730 UYK327706:UYK327730 VIG327706:VIG327730 VSC327706:VSC327730 WBY327706:WBY327730 WLU327706:WLU327730 WVQ327706:WVQ327730 I393242:I393266 JE393242:JE393266 TA393242:TA393266 ACW393242:ACW393266 AMS393242:AMS393266 AWO393242:AWO393266 BGK393242:BGK393266 BQG393242:BQG393266 CAC393242:CAC393266 CJY393242:CJY393266 CTU393242:CTU393266 DDQ393242:DDQ393266 DNM393242:DNM393266 DXI393242:DXI393266 EHE393242:EHE393266 ERA393242:ERA393266 FAW393242:FAW393266 FKS393242:FKS393266 FUO393242:FUO393266 GEK393242:GEK393266 GOG393242:GOG393266 GYC393242:GYC393266 HHY393242:HHY393266 HRU393242:HRU393266 IBQ393242:IBQ393266 ILM393242:ILM393266 IVI393242:IVI393266 JFE393242:JFE393266 JPA393242:JPA393266 JYW393242:JYW393266 KIS393242:KIS393266 KSO393242:KSO393266 LCK393242:LCK393266 LMG393242:LMG393266 LWC393242:LWC393266 MFY393242:MFY393266 MPU393242:MPU393266 MZQ393242:MZQ393266 NJM393242:NJM393266 NTI393242:NTI393266 ODE393242:ODE393266 ONA393242:ONA393266 OWW393242:OWW393266 PGS393242:PGS393266 PQO393242:PQO393266 QAK393242:QAK393266 QKG393242:QKG393266 QUC393242:QUC393266 RDY393242:RDY393266 RNU393242:RNU393266 RXQ393242:RXQ393266 SHM393242:SHM393266 SRI393242:SRI393266 TBE393242:TBE393266 TLA393242:TLA393266 TUW393242:TUW393266 UES393242:UES393266 UOO393242:UOO393266 UYK393242:UYK393266 VIG393242:VIG393266 VSC393242:VSC393266 WBY393242:WBY393266 WLU393242:WLU393266 WVQ393242:WVQ393266 I458778:I458802 JE458778:JE458802 TA458778:TA458802 ACW458778:ACW458802 AMS458778:AMS458802 AWO458778:AWO458802 BGK458778:BGK458802 BQG458778:BQG458802 CAC458778:CAC458802 CJY458778:CJY458802 CTU458778:CTU458802 DDQ458778:DDQ458802 DNM458778:DNM458802 DXI458778:DXI458802 EHE458778:EHE458802 ERA458778:ERA458802 FAW458778:FAW458802 FKS458778:FKS458802 FUO458778:FUO458802 GEK458778:GEK458802 GOG458778:GOG458802 GYC458778:GYC458802 HHY458778:HHY458802 HRU458778:HRU458802 IBQ458778:IBQ458802 ILM458778:ILM458802 IVI458778:IVI458802 JFE458778:JFE458802 JPA458778:JPA458802 JYW458778:JYW458802 KIS458778:KIS458802 KSO458778:KSO458802 LCK458778:LCK458802 LMG458778:LMG458802 LWC458778:LWC458802 MFY458778:MFY458802 MPU458778:MPU458802 MZQ458778:MZQ458802 NJM458778:NJM458802 NTI458778:NTI458802 ODE458778:ODE458802 ONA458778:ONA458802 OWW458778:OWW458802 PGS458778:PGS458802 PQO458778:PQO458802 QAK458778:QAK458802 QKG458778:QKG458802 QUC458778:QUC458802 RDY458778:RDY458802 RNU458778:RNU458802 RXQ458778:RXQ458802 SHM458778:SHM458802 SRI458778:SRI458802 TBE458778:TBE458802 TLA458778:TLA458802 TUW458778:TUW458802 UES458778:UES458802 UOO458778:UOO458802 UYK458778:UYK458802 VIG458778:VIG458802 VSC458778:VSC458802 WBY458778:WBY458802 WLU458778:WLU458802 WVQ458778:WVQ458802 I524314:I524338 JE524314:JE524338 TA524314:TA524338 ACW524314:ACW524338 AMS524314:AMS524338 AWO524314:AWO524338 BGK524314:BGK524338 BQG524314:BQG524338 CAC524314:CAC524338 CJY524314:CJY524338 CTU524314:CTU524338 DDQ524314:DDQ524338 DNM524314:DNM524338 DXI524314:DXI524338 EHE524314:EHE524338 ERA524314:ERA524338 FAW524314:FAW524338 FKS524314:FKS524338 FUO524314:FUO524338 GEK524314:GEK524338 GOG524314:GOG524338 GYC524314:GYC524338 HHY524314:HHY524338 HRU524314:HRU524338 IBQ524314:IBQ524338 ILM524314:ILM524338 IVI524314:IVI524338 JFE524314:JFE524338 JPA524314:JPA524338 JYW524314:JYW524338 KIS524314:KIS524338 KSO524314:KSO524338 LCK524314:LCK524338 LMG524314:LMG524338 LWC524314:LWC524338 MFY524314:MFY524338 MPU524314:MPU524338 MZQ524314:MZQ524338 NJM524314:NJM524338 NTI524314:NTI524338 ODE524314:ODE524338 ONA524314:ONA524338 OWW524314:OWW524338 PGS524314:PGS524338 PQO524314:PQO524338 QAK524314:QAK524338 QKG524314:QKG524338 QUC524314:QUC524338 RDY524314:RDY524338 RNU524314:RNU524338 RXQ524314:RXQ524338 SHM524314:SHM524338 SRI524314:SRI524338 TBE524314:TBE524338 TLA524314:TLA524338 TUW524314:TUW524338 UES524314:UES524338 UOO524314:UOO524338 UYK524314:UYK524338 VIG524314:VIG524338 VSC524314:VSC524338 WBY524314:WBY524338 WLU524314:WLU524338 WVQ524314:WVQ524338 I589850:I589874 JE589850:JE589874 TA589850:TA589874 ACW589850:ACW589874 AMS589850:AMS589874 AWO589850:AWO589874 BGK589850:BGK589874 BQG589850:BQG589874 CAC589850:CAC589874 CJY589850:CJY589874 CTU589850:CTU589874 DDQ589850:DDQ589874 DNM589850:DNM589874 DXI589850:DXI589874 EHE589850:EHE589874 ERA589850:ERA589874 FAW589850:FAW589874 FKS589850:FKS589874 FUO589850:FUO589874 GEK589850:GEK589874 GOG589850:GOG589874 GYC589850:GYC589874 HHY589850:HHY589874 HRU589850:HRU589874 IBQ589850:IBQ589874 ILM589850:ILM589874 IVI589850:IVI589874 JFE589850:JFE589874 JPA589850:JPA589874 JYW589850:JYW589874 KIS589850:KIS589874 KSO589850:KSO589874 LCK589850:LCK589874 LMG589850:LMG589874 LWC589850:LWC589874 MFY589850:MFY589874 MPU589850:MPU589874 MZQ589850:MZQ589874 NJM589850:NJM589874 NTI589850:NTI589874 ODE589850:ODE589874 ONA589850:ONA589874 OWW589850:OWW589874 PGS589850:PGS589874 PQO589850:PQO589874 QAK589850:QAK589874 QKG589850:QKG589874 QUC589850:QUC589874 RDY589850:RDY589874 RNU589850:RNU589874 RXQ589850:RXQ589874 SHM589850:SHM589874 SRI589850:SRI589874 TBE589850:TBE589874 TLA589850:TLA589874 TUW589850:TUW589874 UES589850:UES589874 UOO589850:UOO589874 UYK589850:UYK589874 VIG589850:VIG589874 VSC589850:VSC589874 WBY589850:WBY589874 WLU589850:WLU589874 WVQ589850:WVQ589874 I655386:I655410 JE655386:JE655410 TA655386:TA655410 ACW655386:ACW655410 AMS655386:AMS655410 AWO655386:AWO655410 BGK655386:BGK655410 BQG655386:BQG655410 CAC655386:CAC655410 CJY655386:CJY655410 CTU655386:CTU655410 DDQ655386:DDQ655410 DNM655386:DNM655410 DXI655386:DXI655410 EHE655386:EHE655410 ERA655386:ERA655410 FAW655386:FAW655410 FKS655386:FKS655410 FUO655386:FUO655410 GEK655386:GEK655410 GOG655386:GOG655410 GYC655386:GYC655410 HHY655386:HHY655410 HRU655386:HRU655410 IBQ655386:IBQ655410 ILM655386:ILM655410 IVI655386:IVI655410 JFE655386:JFE655410 JPA655386:JPA655410 JYW655386:JYW655410 KIS655386:KIS655410 KSO655386:KSO655410 LCK655386:LCK655410 LMG655386:LMG655410 LWC655386:LWC655410 MFY655386:MFY655410 MPU655386:MPU655410 MZQ655386:MZQ655410 NJM655386:NJM655410 NTI655386:NTI655410 ODE655386:ODE655410 ONA655386:ONA655410 OWW655386:OWW655410 PGS655386:PGS655410 PQO655386:PQO655410 QAK655386:QAK655410 QKG655386:QKG655410 QUC655386:QUC655410 RDY655386:RDY655410 RNU655386:RNU655410 RXQ655386:RXQ655410 SHM655386:SHM655410 SRI655386:SRI655410 TBE655386:TBE655410 TLA655386:TLA655410 TUW655386:TUW655410 UES655386:UES655410 UOO655386:UOO655410 UYK655386:UYK655410 VIG655386:VIG655410 VSC655386:VSC655410 WBY655386:WBY655410 WLU655386:WLU655410 WVQ655386:WVQ655410 I720922:I720946 JE720922:JE720946 TA720922:TA720946 ACW720922:ACW720946 AMS720922:AMS720946 AWO720922:AWO720946 BGK720922:BGK720946 BQG720922:BQG720946 CAC720922:CAC720946 CJY720922:CJY720946 CTU720922:CTU720946 DDQ720922:DDQ720946 DNM720922:DNM720946 DXI720922:DXI720946 EHE720922:EHE720946 ERA720922:ERA720946 FAW720922:FAW720946 FKS720922:FKS720946 FUO720922:FUO720946 GEK720922:GEK720946 GOG720922:GOG720946 GYC720922:GYC720946 HHY720922:HHY720946 HRU720922:HRU720946 IBQ720922:IBQ720946 ILM720922:ILM720946 IVI720922:IVI720946 JFE720922:JFE720946 JPA720922:JPA720946 JYW720922:JYW720946 KIS720922:KIS720946 KSO720922:KSO720946 LCK720922:LCK720946 LMG720922:LMG720946 LWC720922:LWC720946 MFY720922:MFY720946 MPU720922:MPU720946 MZQ720922:MZQ720946 NJM720922:NJM720946 NTI720922:NTI720946 ODE720922:ODE720946 ONA720922:ONA720946 OWW720922:OWW720946 PGS720922:PGS720946 PQO720922:PQO720946 QAK720922:QAK720946 QKG720922:QKG720946 QUC720922:QUC720946 RDY720922:RDY720946 RNU720922:RNU720946 RXQ720922:RXQ720946 SHM720922:SHM720946 SRI720922:SRI720946 TBE720922:TBE720946 TLA720922:TLA720946 TUW720922:TUW720946 UES720922:UES720946 UOO720922:UOO720946 UYK720922:UYK720946 VIG720922:VIG720946 VSC720922:VSC720946 WBY720922:WBY720946 WLU720922:WLU720946 WVQ720922:WVQ720946 I786458:I786482 JE786458:JE786482 TA786458:TA786482 ACW786458:ACW786482 AMS786458:AMS786482 AWO786458:AWO786482 BGK786458:BGK786482 BQG786458:BQG786482 CAC786458:CAC786482 CJY786458:CJY786482 CTU786458:CTU786482 DDQ786458:DDQ786482 DNM786458:DNM786482 DXI786458:DXI786482 EHE786458:EHE786482 ERA786458:ERA786482 FAW786458:FAW786482 FKS786458:FKS786482 FUO786458:FUO786482 GEK786458:GEK786482 GOG786458:GOG786482 GYC786458:GYC786482 HHY786458:HHY786482 HRU786458:HRU786482 IBQ786458:IBQ786482 ILM786458:ILM786482 IVI786458:IVI786482 JFE786458:JFE786482 JPA786458:JPA786482 JYW786458:JYW786482 KIS786458:KIS786482 KSO786458:KSO786482 LCK786458:LCK786482 LMG786458:LMG786482 LWC786458:LWC786482 MFY786458:MFY786482 MPU786458:MPU786482 MZQ786458:MZQ786482 NJM786458:NJM786482 NTI786458:NTI786482 ODE786458:ODE786482 ONA786458:ONA786482 OWW786458:OWW786482 PGS786458:PGS786482 PQO786458:PQO786482 QAK786458:QAK786482 QKG786458:QKG786482 QUC786458:QUC786482 RDY786458:RDY786482 RNU786458:RNU786482 RXQ786458:RXQ786482 SHM786458:SHM786482 SRI786458:SRI786482 TBE786458:TBE786482 TLA786458:TLA786482 TUW786458:TUW786482 UES786458:UES786482 UOO786458:UOO786482 UYK786458:UYK786482 VIG786458:VIG786482 VSC786458:VSC786482 WBY786458:WBY786482 WLU786458:WLU786482 WVQ786458:WVQ786482 I851994:I852018 JE851994:JE852018 TA851994:TA852018 ACW851994:ACW852018 AMS851994:AMS852018 AWO851994:AWO852018 BGK851994:BGK852018 BQG851994:BQG852018 CAC851994:CAC852018 CJY851994:CJY852018 CTU851994:CTU852018 DDQ851994:DDQ852018 DNM851994:DNM852018 DXI851994:DXI852018 EHE851994:EHE852018 ERA851994:ERA852018 FAW851994:FAW852018 FKS851994:FKS852018 FUO851994:FUO852018 GEK851994:GEK852018 GOG851994:GOG852018 GYC851994:GYC852018 HHY851994:HHY852018 HRU851994:HRU852018 IBQ851994:IBQ852018 ILM851994:ILM852018 IVI851994:IVI852018 JFE851994:JFE852018 JPA851994:JPA852018 JYW851994:JYW852018 KIS851994:KIS852018 KSO851994:KSO852018 LCK851994:LCK852018 LMG851994:LMG852018 LWC851994:LWC852018 MFY851994:MFY852018 MPU851994:MPU852018 MZQ851994:MZQ852018 NJM851994:NJM852018 NTI851994:NTI852018 ODE851994:ODE852018 ONA851994:ONA852018 OWW851994:OWW852018 PGS851994:PGS852018 PQO851994:PQO852018 QAK851994:QAK852018 QKG851994:QKG852018 QUC851994:QUC852018 RDY851994:RDY852018 RNU851994:RNU852018 RXQ851994:RXQ852018 SHM851994:SHM852018 SRI851994:SRI852018 TBE851994:TBE852018 TLA851994:TLA852018 TUW851994:TUW852018 UES851994:UES852018 UOO851994:UOO852018 UYK851994:UYK852018 VIG851994:VIG852018 VSC851994:VSC852018 WBY851994:WBY852018 WLU851994:WLU852018 WVQ851994:WVQ852018 I917530:I917554 JE917530:JE917554 TA917530:TA917554 ACW917530:ACW917554 AMS917530:AMS917554 AWO917530:AWO917554 BGK917530:BGK917554 BQG917530:BQG917554 CAC917530:CAC917554 CJY917530:CJY917554 CTU917530:CTU917554 DDQ917530:DDQ917554 DNM917530:DNM917554 DXI917530:DXI917554 EHE917530:EHE917554 ERA917530:ERA917554 FAW917530:FAW917554 FKS917530:FKS917554 FUO917530:FUO917554 GEK917530:GEK917554 GOG917530:GOG917554 GYC917530:GYC917554 HHY917530:HHY917554 HRU917530:HRU917554 IBQ917530:IBQ917554 ILM917530:ILM917554 IVI917530:IVI917554 JFE917530:JFE917554 JPA917530:JPA917554 JYW917530:JYW917554 KIS917530:KIS917554 KSO917530:KSO917554 LCK917530:LCK917554 LMG917530:LMG917554 LWC917530:LWC917554 MFY917530:MFY917554 MPU917530:MPU917554 MZQ917530:MZQ917554 NJM917530:NJM917554 NTI917530:NTI917554 ODE917530:ODE917554 ONA917530:ONA917554 OWW917530:OWW917554 PGS917530:PGS917554 PQO917530:PQO917554 QAK917530:QAK917554 QKG917530:QKG917554 QUC917530:QUC917554 RDY917530:RDY917554 RNU917530:RNU917554 RXQ917530:RXQ917554 SHM917530:SHM917554 SRI917530:SRI917554 TBE917530:TBE917554 TLA917530:TLA917554 TUW917530:TUW917554 UES917530:UES917554 UOO917530:UOO917554 UYK917530:UYK917554 VIG917530:VIG917554 VSC917530:VSC917554 WBY917530:WBY917554 WLU917530:WLU917554 WVQ917530:WVQ917554 I983066:I983090 JE983066:JE983090 TA983066:TA983090 ACW983066:ACW983090 AMS983066:AMS983090 AWO983066:AWO983090 BGK983066:BGK983090 BQG983066:BQG983090 CAC983066:CAC983090 CJY983066:CJY983090 CTU983066:CTU983090 DDQ983066:DDQ983090 DNM983066:DNM983090 DXI983066:DXI983090 EHE983066:EHE983090 ERA983066:ERA983090 FAW983066:FAW983090 FKS983066:FKS983090 FUO983066:FUO983090 GEK983066:GEK983090 GOG983066:GOG983090 GYC983066:GYC983090 HHY983066:HHY983090 HRU983066:HRU983090 IBQ983066:IBQ983090 ILM983066:ILM983090 IVI983066:IVI983090 JFE983066:JFE983090 JPA983066:JPA983090 JYW983066:JYW983090 KIS983066:KIS983090 KSO983066:KSO983090 LCK983066:LCK983090 LMG983066:LMG983090 LWC983066:LWC983090 MFY983066:MFY983090 MPU983066:MPU983090 MZQ983066:MZQ983090 NJM983066:NJM983090 NTI983066:NTI983090 ODE983066:ODE983090 ONA983066:ONA983090 OWW983066:OWW983090 PGS983066:PGS983090 PQO983066:PQO983090 QAK983066:QAK983090 QKG983066:QKG983090 QUC983066:QUC983090 RDY983066:RDY983090 RNU983066:RNU983090 RXQ983066:RXQ983090 SHM983066:SHM983090 SRI983066:SRI983090 TBE983066:TBE983090 TLA983066:TLA983090 TUW983066:TUW983090 UES983066:UES983090 UOO983066:UOO983090 UYK983066:UYK983090 VIG983066:VIG983090 VSC983066:VSC983090 WBY983066:WBY983090 WLU983066:WLU983090 WVQ983066:WVQ983090">
      <formula1>1</formula1>
      <formula2>3</formula2>
    </dataValidation>
    <dataValidation type="decimal" errorStyle="information" allowBlank="1" showInputMessage="1" showErrorMessage="1" errorTitle="Outside of map" error="Enter a number from 1 to 9 only" sqref="WVM983066:WVO983090 JA26:JC50 SW26:SY50 ACS26:ACU50 AMO26:AMQ50 AWK26:AWM50 BGG26:BGI50 BQC26:BQE50 BZY26:CAA50 CJU26:CJW50 CTQ26:CTS50 DDM26:DDO50 DNI26:DNK50 DXE26:DXG50 EHA26:EHC50 EQW26:EQY50 FAS26:FAU50 FKO26:FKQ50 FUK26:FUM50 GEG26:GEI50 GOC26:GOE50 GXY26:GYA50 HHU26:HHW50 HRQ26:HRS50 IBM26:IBO50 ILI26:ILK50 IVE26:IVG50 JFA26:JFC50 JOW26:JOY50 JYS26:JYU50 KIO26:KIQ50 KSK26:KSM50 LCG26:LCI50 LMC26:LME50 LVY26:LWA50 MFU26:MFW50 MPQ26:MPS50 MZM26:MZO50 NJI26:NJK50 NTE26:NTG50 ODA26:ODC50 OMW26:OMY50 OWS26:OWU50 PGO26:PGQ50 PQK26:PQM50 QAG26:QAI50 QKC26:QKE50 QTY26:QUA50 RDU26:RDW50 RNQ26:RNS50 RXM26:RXO50 SHI26:SHK50 SRE26:SRG50 TBA26:TBC50 TKW26:TKY50 TUS26:TUU50 UEO26:UEQ50 UOK26:UOM50 UYG26:UYI50 VIC26:VIE50 VRY26:VSA50 WBU26:WBW50 WLQ26:WLS50 WVM26:WVO50 E65562:G65586 JA65562:JC65586 SW65562:SY65586 ACS65562:ACU65586 AMO65562:AMQ65586 AWK65562:AWM65586 BGG65562:BGI65586 BQC65562:BQE65586 BZY65562:CAA65586 CJU65562:CJW65586 CTQ65562:CTS65586 DDM65562:DDO65586 DNI65562:DNK65586 DXE65562:DXG65586 EHA65562:EHC65586 EQW65562:EQY65586 FAS65562:FAU65586 FKO65562:FKQ65586 FUK65562:FUM65586 GEG65562:GEI65586 GOC65562:GOE65586 GXY65562:GYA65586 HHU65562:HHW65586 HRQ65562:HRS65586 IBM65562:IBO65586 ILI65562:ILK65586 IVE65562:IVG65586 JFA65562:JFC65586 JOW65562:JOY65586 JYS65562:JYU65586 KIO65562:KIQ65586 KSK65562:KSM65586 LCG65562:LCI65586 LMC65562:LME65586 LVY65562:LWA65586 MFU65562:MFW65586 MPQ65562:MPS65586 MZM65562:MZO65586 NJI65562:NJK65586 NTE65562:NTG65586 ODA65562:ODC65586 OMW65562:OMY65586 OWS65562:OWU65586 PGO65562:PGQ65586 PQK65562:PQM65586 QAG65562:QAI65586 QKC65562:QKE65586 QTY65562:QUA65586 RDU65562:RDW65586 RNQ65562:RNS65586 RXM65562:RXO65586 SHI65562:SHK65586 SRE65562:SRG65586 TBA65562:TBC65586 TKW65562:TKY65586 TUS65562:TUU65586 UEO65562:UEQ65586 UOK65562:UOM65586 UYG65562:UYI65586 VIC65562:VIE65586 VRY65562:VSA65586 WBU65562:WBW65586 WLQ65562:WLS65586 WVM65562:WVO65586 E131098:G131122 JA131098:JC131122 SW131098:SY131122 ACS131098:ACU131122 AMO131098:AMQ131122 AWK131098:AWM131122 BGG131098:BGI131122 BQC131098:BQE131122 BZY131098:CAA131122 CJU131098:CJW131122 CTQ131098:CTS131122 DDM131098:DDO131122 DNI131098:DNK131122 DXE131098:DXG131122 EHA131098:EHC131122 EQW131098:EQY131122 FAS131098:FAU131122 FKO131098:FKQ131122 FUK131098:FUM131122 GEG131098:GEI131122 GOC131098:GOE131122 GXY131098:GYA131122 HHU131098:HHW131122 HRQ131098:HRS131122 IBM131098:IBO131122 ILI131098:ILK131122 IVE131098:IVG131122 JFA131098:JFC131122 JOW131098:JOY131122 JYS131098:JYU131122 KIO131098:KIQ131122 KSK131098:KSM131122 LCG131098:LCI131122 LMC131098:LME131122 LVY131098:LWA131122 MFU131098:MFW131122 MPQ131098:MPS131122 MZM131098:MZO131122 NJI131098:NJK131122 NTE131098:NTG131122 ODA131098:ODC131122 OMW131098:OMY131122 OWS131098:OWU131122 PGO131098:PGQ131122 PQK131098:PQM131122 QAG131098:QAI131122 QKC131098:QKE131122 QTY131098:QUA131122 RDU131098:RDW131122 RNQ131098:RNS131122 RXM131098:RXO131122 SHI131098:SHK131122 SRE131098:SRG131122 TBA131098:TBC131122 TKW131098:TKY131122 TUS131098:TUU131122 UEO131098:UEQ131122 UOK131098:UOM131122 UYG131098:UYI131122 VIC131098:VIE131122 VRY131098:VSA131122 WBU131098:WBW131122 WLQ131098:WLS131122 WVM131098:WVO131122 E196634:G196658 JA196634:JC196658 SW196634:SY196658 ACS196634:ACU196658 AMO196634:AMQ196658 AWK196634:AWM196658 BGG196634:BGI196658 BQC196634:BQE196658 BZY196634:CAA196658 CJU196634:CJW196658 CTQ196634:CTS196658 DDM196634:DDO196658 DNI196634:DNK196658 DXE196634:DXG196658 EHA196634:EHC196658 EQW196634:EQY196658 FAS196634:FAU196658 FKO196634:FKQ196658 FUK196634:FUM196658 GEG196634:GEI196658 GOC196634:GOE196658 GXY196634:GYA196658 HHU196634:HHW196658 HRQ196634:HRS196658 IBM196634:IBO196658 ILI196634:ILK196658 IVE196634:IVG196658 JFA196634:JFC196658 JOW196634:JOY196658 JYS196634:JYU196658 KIO196634:KIQ196658 KSK196634:KSM196658 LCG196634:LCI196658 LMC196634:LME196658 LVY196634:LWA196658 MFU196634:MFW196658 MPQ196634:MPS196658 MZM196634:MZO196658 NJI196634:NJK196658 NTE196634:NTG196658 ODA196634:ODC196658 OMW196634:OMY196658 OWS196634:OWU196658 PGO196634:PGQ196658 PQK196634:PQM196658 QAG196634:QAI196658 QKC196634:QKE196658 QTY196634:QUA196658 RDU196634:RDW196658 RNQ196634:RNS196658 RXM196634:RXO196658 SHI196634:SHK196658 SRE196634:SRG196658 TBA196634:TBC196658 TKW196634:TKY196658 TUS196634:TUU196658 UEO196634:UEQ196658 UOK196634:UOM196658 UYG196634:UYI196658 VIC196634:VIE196658 VRY196634:VSA196658 WBU196634:WBW196658 WLQ196634:WLS196658 WVM196634:WVO196658 E262170:G262194 JA262170:JC262194 SW262170:SY262194 ACS262170:ACU262194 AMO262170:AMQ262194 AWK262170:AWM262194 BGG262170:BGI262194 BQC262170:BQE262194 BZY262170:CAA262194 CJU262170:CJW262194 CTQ262170:CTS262194 DDM262170:DDO262194 DNI262170:DNK262194 DXE262170:DXG262194 EHA262170:EHC262194 EQW262170:EQY262194 FAS262170:FAU262194 FKO262170:FKQ262194 FUK262170:FUM262194 GEG262170:GEI262194 GOC262170:GOE262194 GXY262170:GYA262194 HHU262170:HHW262194 HRQ262170:HRS262194 IBM262170:IBO262194 ILI262170:ILK262194 IVE262170:IVG262194 JFA262170:JFC262194 JOW262170:JOY262194 JYS262170:JYU262194 KIO262170:KIQ262194 KSK262170:KSM262194 LCG262170:LCI262194 LMC262170:LME262194 LVY262170:LWA262194 MFU262170:MFW262194 MPQ262170:MPS262194 MZM262170:MZO262194 NJI262170:NJK262194 NTE262170:NTG262194 ODA262170:ODC262194 OMW262170:OMY262194 OWS262170:OWU262194 PGO262170:PGQ262194 PQK262170:PQM262194 QAG262170:QAI262194 QKC262170:QKE262194 QTY262170:QUA262194 RDU262170:RDW262194 RNQ262170:RNS262194 RXM262170:RXO262194 SHI262170:SHK262194 SRE262170:SRG262194 TBA262170:TBC262194 TKW262170:TKY262194 TUS262170:TUU262194 UEO262170:UEQ262194 UOK262170:UOM262194 UYG262170:UYI262194 VIC262170:VIE262194 VRY262170:VSA262194 WBU262170:WBW262194 WLQ262170:WLS262194 WVM262170:WVO262194 E327706:G327730 JA327706:JC327730 SW327706:SY327730 ACS327706:ACU327730 AMO327706:AMQ327730 AWK327706:AWM327730 BGG327706:BGI327730 BQC327706:BQE327730 BZY327706:CAA327730 CJU327706:CJW327730 CTQ327706:CTS327730 DDM327706:DDO327730 DNI327706:DNK327730 DXE327706:DXG327730 EHA327706:EHC327730 EQW327706:EQY327730 FAS327706:FAU327730 FKO327706:FKQ327730 FUK327706:FUM327730 GEG327706:GEI327730 GOC327706:GOE327730 GXY327706:GYA327730 HHU327706:HHW327730 HRQ327706:HRS327730 IBM327706:IBO327730 ILI327706:ILK327730 IVE327706:IVG327730 JFA327706:JFC327730 JOW327706:JOY327730 JYS327706:JYU327730 KIO327706:KIQ327730 KSK327706:KSM327730 LCG327706:LCI327730 LMC327706:LME327730 LVY327706:LWA327730 MFU327706:MFW327730 MPQ327706:MPS327730 MZM327706:MZO327730 NJI327706:NJK327730 NTE327706:NTG327730 ODA327706:ODC327730 OMW327706:OMY327730 OWS327706:OWU327730 PGO327706:PGQ327730 PQK327706:PQM327730 QAG327706:QAI327730 QKC327706:QKE327730 QTY327706:QUA327730 RDU327706:RDW327730 RNQ327706:RNS327730 RXM327706:RXO327730 SHI327706:SHK327730 SRE327706:SRG327730 TBA327706:TBC327730 TKW327706:TKY327730 TUS327706:TUU327730 UEO327706:UEQ327730 UOK327706:UOM327730 UYG327706:UYI327730 VIC327706:VIE327730 VRY327706:VSA327730 WBU327706:WBW327730 WLQ327706:WLS327730 WVM327706:WVO327730 E393242:G393266 JA393242:JC393266 SW393242:SY393266 ACS393242:ACU393266 AMO393242:AMQ393266 AWK393242:AWM393266 BGG393242:BGI393266 BQC393242:BQE393266 BZY393242:CAA393266 CJU393242:CJW393266 CTQ393242:CTS393266 DDM393242:DDO393266 DNI393242:DNK393266 DXE393242:DXG393266 EHA393242:EHC393266 EQW393242:EQY393266 FAS393242:FAU393266 FKO393242:FKQ393266 FUK393242:FUM393266 GEG393242:GEI393266 GOC393242:GOE393266 GXY393242:GYA393266 HHU393242:HHW393266 HRQ393242:HRS393266 IBM393242:IBO393266 ILI393242:ILK393266 IVE393242:IVG393266 JFA393242:JFC393266 JOW393242:JOY393266 JYS393242:JYU393266 KIO393242:KIQ393266 KSK393242:KSM393266 LCG393242:LCI393266 LMC393242:LME393266 LVY393242:LWA393266 MFU393242:MFW393266 MPQ393242:MPS393266 MZM393242:MZO393266 NJI393242:NJK393266 NTE393242:NTG393266 ODA393242:ODC393266 OMW393242:OMY393266 OWS393242:OWU393266 PGO393242:PGQ393266 PQK393242:PQM393266 QAG393242:QAI393266 QKC393242:QKE393266 QTY393242:QUA393266 RDU393242:RDW393266 RNQ393242:RNS393266 RXM393242:RXO393266 SHI393242:SHK393266 SRE393242:SRG393266 TBA393242:TBC393266 TKW393242:TKY393266 TUS393242:TUU393266 UEO393242:UEQ393266 UOK393242:UOM393266 UYG393242:UYI393266 VIC393242:VIE393266 VRY393242:VSA393266 WBU393242:WBW393266 WLQ393242:WLS393266 WVM393242:WVO393266 E458778:G458802 JA458778:JC458802 SW458778:SY458802 ACS458778:ACU458802 AMO458778:AMQ458802 AWK458778:AWM458802 BGG458778:BGI458802 BQC458778:BQE458802 BZY458778:CAA458802 CJU458778:CJW458802 CTQ458778:CTS458802 DDM458778:DDO458802 DNI458778:DNK458802 DXE458778:DXG458802 EHA458778:EHC458802 EQW458778:EQY458802 FAS458778:FAU458802 FKO458778:FKQ458802 FUK458778:FUM458802 GEG458778:GEI458802 GOC458778:GOE458802 GXY458778:GYA458802 HHU458778:HHW458802 HRQ458778:HRS458802 IBM458778:IBO458802 ILI458778:ILK458802 IVE458778:IVG458802 JFA458778:JFC458802 JOW458778:JOY458802 JYS458778:JYU458802 KIO458778:KIQ458802 KSK458778:KSM458802 LCG458778:LCI458802 LMC458778:LME458802 LVY458778:LWA458802 MFU458778:MFW458802 MPQ458778:MPS458802 MZM458778:MZO458802 NJI458778:NJK458802 NTE458778:NTG458802 ODA458778:ODC458802 OMW458778:OMY458802 OWS458778:OWU458802 PGO458778:PGQ458802 PQK458778:PQM458802 QAG458778:QAI458802 QKC458778:QKE458802 QTY458778:QUA458802 RDU458778:RDW458802 RNQ458778:RNS458802 RXM458778:RXO458802 SHI458778:SHK458802 SRE458778:SRG458802 TBA458778:TBC458802 TKW458778:TKY458802 TUS458778:TUU458802 UEO458778:UEQ458802 UOK458778:UOM458802 UYG458778:UYI458802 VIC458778:VIE458802 VRY458778:VSA458802 WBU458778:WBW458802 WLQ458778:WLS458802 WVM458778:WVO458802 E524314:G524338 JA524314:JC524338 SW524314:SY524338 ACS524314:ACU524338 AMO524314:AMQ524338 AWK524314:AWM524338 BGG524314:BGI524338 BQC524314:BQE524338 BZY524314:CAA524338 CJU524314:CJW524338 CTQ524314:CTS524338 DDM524314:DDO524338 DNI524314:DNK524338 DXE524314:DXG524338 EHA524314:EHC524338 EQW524314:EQY524338 FAS524314:FAU524338 FKO524314:FKQ524338 FUK524314:FUM524338 GEG524314:GEI524338 GOC524314:GOE524338 GXY524314:GYA524338 HHU524314:HHW524338 HRQ524314:HRS524338 IBM524314:IBO524338 ILI524314:ILK524338 IVE524314:IVG524338 JFA524314:JFC524338 JOW524314:JOY524338 JYS524314:JYU524338 KIO524314:KIQ524338 KSK524314:KSM524338 LCG524314:LCI524338 LMC524314:LME524338 LVY524314:LWA524338 MFU524314:MFW524338 MPQ524314:MPS524338 MZM524314:MZO524338 NJI524314:NJK524338 NTE524314:NTG524338 ODA524314:ODC524338 OMW524314:OMY524338 OWS524314:OWU524338 PGO524314:PGQ524338 PQK524314:PQM524338 QAG524314:QAI524338 QKC524314:QKE524338 QTY524314:QUA524338 RDU524314:RDW524338 RNQ524314:RNS524338 RXM524314:RXO524338 SHI524314:SHK524338 SRE524314:SRG524338 TBA524314:TBC524338 TKW524314:TKY524338 TUS524314:TUU524338 UEO524314:UEQ524338 UOK524314:UOM524338 UYG524314:UYI524338 VIC524314:VIE524338 VRY524314:VSA524338 WBU524314:WBW524338 WLQ524314:WLS524338 WVM524314:WVO524338 E589850:G589874 JA589850:JC589874 SW589850:SY589874 ACS589850:ACU589874 AMO589850:AMQ589874 AWK589850:AWM589874 BGG589850:BGI589874 BQC589850:BQE589874 BZY589850:CAA589874 CJU589850:CJW589874 CTQ589850:CTS589874 DDM589850:DDO589874 DNI589850:DNK589874 DXE589850:DXG589874 EHA589850:EHC589874 EQW589850:EQY589874 FAS589850:FAU589874 FKO589850:FKQ589874 FUK589850:FUM589874 GEG589850:GEI589874 GOC589850:GOE589874 GXY589850:GYA589874 HHU589850:HHW589874 HRQ589850:HRS589874 IBM589850:IBO589874 ILI589850:ILK589874 IVE589850:IVG589874 JFA589850:JFC589874 JOW589850:JOY589874 JYS589850:JYU589874 KIO589850:KIQ589874 KSK589850:KSM589874 LCG589850:LCI589874 LMC589850:LME589874 LVY589850:LWA589874 MFU589850:MFW589874 MPQ589850:MPS589874 MZM589850:MZO589874 NJI589850:NJK589874 NTE589850:NTG589874 ODA589850:ODC589874 OMW589850:OMY589874 OWS589850:OWU589874 PGO589850:PGQ589874 PQK589850:PQM589874 QAG589850:QAI589874 QKC589850:QKE589874 QTY589850:QUA589874 RDU589850:RDW589874 RNQ589850:RNS589874 RXM589850:RXO589874 SHI589850:SHK589874 SRE589850:SRG589874 TBA589850:TBC589874 TKW589850:TKY589874 TUS589850:TUU589874 UEO589850:UEQ589874 UOK589850:UOM589874 UYG589850:UYI589874 VIC589850:VIE589874 VRY589850:VSA589874 WBU589850:WBW589874 WLQ589850:WLS589874 WVM589850:WVO589874 E655386:G655410 JA655386:JC655410 SW655386:SY655410 ACS655386:ACU655410 AMO655386:AMQ655410 AWK655386:AWM655410 BGG655386:BGI655410 BQC655386:BQE655410 BZY655386:CAA655410 CJU655386:CJW655410 CTQ655386:CTS655410 DDM655386:DDO655410 DNI655386:DNK655410 DXE655386:DXG655410 EHA655386:EHC655410 EQW655386:EQY655410 FAS655386:FAU655410 FKO655386:FKQ655410 FUK655386:FUM655410 GEG655386:GEI655410 GOC655386:GOE655410 GXY655386:GYA655410 HHU655386:HHW655410 HRQ655386:HRS655410 IBM655386:IBO655410 ILI655386:ILK655410 IVE655386:IVG655410 JFA655386:JFC655410 JOW655386:JOY655410 JYS655386:JYU655410 KIO655386:KIQ655410 KSK655386:KSM655410 LCG655386:LCI655410 LMC655386:LME655410 LVY655386:LWA655410 MFU655386:MFW655410 MPQ655386:MPS655410 MZM655386:MZO655410 NJI655386:NJK655410 NTE655386:NTG655410 ODA655386:ODC655410 OMW655386:OMY655410 OWS655386:OWU655410 PGO655386:PGQ655410 PQK655386:PQM655410 QAG655386:QAI655410 QKC655386:QKE655410 QTY655386:QUA655410 RDU655386:RDW655410 RNQ655386:RNS655410 RXM655386:RXO655410 SHI655386:SHK655410 SRE655386:SRG655410 TBA655386:TBC655410 TKW655386:TKY655410 TUS655386:TUU655410 UEO655386:UEQ655410 UOK655386:UOM655410 UYG655386:UYI655410 VIC655386:VIE655410 VRY655386:VSA655410 WBU655386:WBW655410 WLQ655386:WLS655410 WVM655386:WVO655410 E720922:G720946 JA720922:JC720946 SW720922:SY720946 ACS720922:ACU720946 AMO720922:AMQ720946 AWK720922:AWM720946 BGG720922:BGI720946 BQC720922:BQE720946 BZY720922:CAA720946 CJU720922:CJW720946 CTQ720922:CTS720946 DDM720922:DDO720946 DNI720922:DNK720946 DXE720922:DXG720946 EHA720922:EHC720946 EQW720922:EQY720946 FAS720922:FAU720946 FKO720922:FKQ720946 FUK720922:FUM720946 GEG720922:GEI720946 GOC720922:GOE720946 GXY720922:GYA720946 HHU720922:HHW720946 HRQ720922:HRS720946 IBM720922:IBO720946 ILI720922:ILK720946 IVE720922:IVG720946 JFA720922:JFC720946 JOW720922:JOY720946 JYS720922:JYU720946 KIO720922:KIQ720946 KSK720922:KSM720946 LCG720922:LCI720946 LMC720922:LME720946 LVY720922:LWA720946 MFU720922:MFW720946 MPQ720922:MPS720946 MZM720922:MZO720946 NJI720922:NJK720946 NTE720922:NTG720946 ODA720922:ODC720946 OMW720922:OMY720946 OWS720922:OWU720946 PGO720922:PGQ720946 PQK720922:PQM720946 QAG720922:QAI720946 QKC720922:QKE720946 QTY720922:QUA720946 RDU720922:RDW720946 RNQ720922:RNS720946 RXM720922:RXO720946 SHI720922:SHK720946 SRE720922:SRG720946 TBA720922:TBC720946 TKW720922:TKY720946 TUS720922:TUU720946 UEO720922:UEQ720946 UOK720922:UOM720946 UYG720922:UYI720946 VIC720922:VIE720946 VRY720922:VSA720946 WBU720922:WBW720946 WLQ720922:WLS720946 WVM720922:WVO720946 E786458:G786482 JA786458:JC786482 SW786458:SY786482 ACS786458:ACU786482 AMO786458:AMQ786482 AWK786458:AWM786482 BGG786458:BGI786482 BQC786458:BQE786482 BZY786458:CAA786482 CJU786458:CJW786482 CTQ786458:CTS786482 DDM786458:DDO786482 DNI786458:DNK786482 DXE786458:DXG786482 EHA786458:EHC786482 EQW786458:EQY786482 FAS786458:FAU786482 FKO786458:FKQ786482 FUK786458:FUM786482 GEG786458:GEI786482 GOC786458:GOE786482 GXY786458:GYA786482 HHU786458:HHW786482 HRQ786458:HRS786482 IBM786458:IBO786482 ILI786458:ILK786482 IVE786458:IVG786482 JFA786458:JFC786482 JOW786458:JOY786482 JYS786458:JYU786482 KIO786458:KIQ786482 KSK786458:KSM786482 LCG786458:LCI786482 LMC786458:LME786482 LVY786458:LWA786482 MFU786458:MFW786482 MPQ786458:MPS786482 MZM786458:MZO786482 NJI786458:NJK786482 NTE786458:NTG786482 ODA786458:ODC786482 OMW786458:OMY786482 OWS786458:OWU786482 PGO786458:PGQ786482 PQK786458:PQM786482 QAG786458:QAI786482 QKC786458:QKE786482 QTY786458:QUA786482 RDU786458:RDW786482 RNQ786458:RNS786482 RXM786458:RXO786482 SHI786458:SHK786482 SRE786458:SRG786482 TBA786458:TBC786482 TKW786458:TKY786482 TUS786458:TUU786482 UEO786458:UEQ786482 UOK786458:UOM786482 UYG786458:UYI786482 VIC786458:VIE786482 VRY786458:VSA786482 WBU786458:WBW786482 WLQ786458:WLS786482 WVM786458:WVO786482 E851994:G852018 JA851994:JC852018 SW851994:SY852018 ACS851994:ACU852018 AMO851994:AMQ852018 AWK851994:AWM852018 BGG851994:BGI852018 BQC851994:BQE852018 BZY851994:CAA852018 CJU851994:CJW852018 CTQ851994:CTS852018 DDM851994:DDO852018 DNI851994:DNK852018 DXE851994:DXG852018 EHA851994:EHC852018 EQW851994:EQY852018 FAS851994:FAU852018 FKO851994:FKQ852018 FUK851994:FUM852018 GEG851994:GEI852018 GOC851994:GOE852018 GXY851994:GYA852018 HHU851994:HHW852018 HRQ851994:HRS852018 IBM851994:IBO852018 ILI851994:ILK852018 IVE851994:IVG852018 JFA851994:JFC852018 JOW851994:JOY852018 JYS851994:JYU852018 KIO851994:KIQ852018 KSK851994:KSM852018 LCG851994:LCI852018 LMC851994:LME852018 LVY851994:LWA852018 MFU851994:MFW852018 MPQ851994:MPS852018 MZM851994:MZO852018 NJI851994:NJK852018 NTE851994:NTG852018 ODA851994:ODC852018 OMW851994:OMY852018 OWS851994:OWU852018 PGO851994:PGQ852018 PQK851994:PQM852018 QAG851994:QAI852018 QKC851994:QKE852018 QTY851994:QUA852018 RDU851994:RDW852018 RNQ851994:RNS852018 RXM851994:RXO852018 SHI851994:SHK852018 SRE851994:SRG852018 TBA851994:TBC852018 TKW851994:TKY852018 TUS851994:TUU852018 UEO851994:UEQ852018 UOK851994:UOM852018 UYG851994:UYI852018 VIC851994:VIE852018 VRY851994:VSA852018 WBU851994:WBW852018 WLQ851994:WLS852018 WVM851994:WVO852018 E917530:G917554 JA917530:JC917554 SW917530:SY917554 ACS917530:ACU917554 AMO917530:AMQ917554 AWK917530:AWM917554 BGG917530:BGI917554 BQC917530:BQE917554 BZY917530:CAA917554 CJU917530:CJW917554 CTQ917530:CTS917554 DDM917530:DDO917554 DNI917530:DNK917554 DXE917530:DXG917554 EHA917530:EHC917554 EQW917530:EQY917554 FAS917530:FAU917554 FKO917530:FKQ917554 FUK917530:FUM917554 GEG917530:GEI917554 GOC917530:GOE917554 GXY917530:GYA917554 HHU917530:HHW917554 HRQ917530:HRS917554 IBM917530:IBO917554 ILI917530:ILK917554 IVE917530:IVG917554 JFA917530:JFC917554 JOW917530:JOY917554 JYS917530:JYU917554 KIO917530:KIQ917554 KSK917530:KSM917554 LCG917530:LCI917554 LMC917530:LME917554 LVY917530:LWA917554 MFU917530:MFW917554 MPQ917530:MPS917554 MZM917530:MZO917554 NJI917530:NJK917554 NTE917530:NTG917554 ODA917530:ODC917554 OMW917530:OMY917554 OWS917530:OWU917554 PGO917530:PGQ917554 PQK917530:PQM917554 QAG917530:QAI917554 QKC917530:QKE917554 QTY917530:QUA917554 RDU917530:RDW917554 RNQ917530:RNS917554 RXM917530:RXO917554 SHI917530:SHK917554 SRE917530:SRG917554 TBA917530:TBC917554 TKW917530:TKY917554 TUS917530:TUU917554 UEO917530:UEQ917554 UOK917530:UOM917554 UYG917530:UYI917554 VIC917530:VIE917554 VRY917530:VSA917554 WBU917530:WBW917554 WLQ917530:WLS917554 WVM917530:WVO917554 E983066:G983090 JA983066:JC983090 SW983066:SY983090 ACS983066:ACU983090 AMO983066:AMQ983090 AWK983066:AWM983090 BGG983066:BGI983090 BQC983066:BQE983090 BZY983066:CAA983090 CJU983066:CJW983090 CTQ983066:CTS983090 DDM983066:DDO983090 DNI983066:DNK983090 DXE983066:DXG983090 EHA983066:EHC983090 EQW983066:EQY983090 FAS983066:FAU983090 FKO983066:FKQ983090 FUK983066:FUM983090 GEG983066:GEI983090 GOC983066:GOE983090 GXY983066:GYA983090 HHU983066:HHW983090 HRQ983066:HRS983090 IBM983066:IBO983090 ILI983066:ILK983090 IVE983066:IVG983090 JFA983066:JFC983090 JOW983066:JOY983090 JYS983066:JYU983090 KIO983066:KIQ983090 KSK983066:KSM983090 LCG983066:LCI983090 LMC983066:LME983090 LVY983066:LWA983090 MFU983066:MFW983090 MPQ983066:MPS983090 MZM983066:MZO983090 NJI983066:NJK983090 NTE983066:NTG983090 ODA983066:ODC983090 OMW983066:OMY983090 OWS983066:OWU983090 PGO983066:PGQ983090 PQK983066:PQM983090 QAG983066:QAI983090 QKC983066:QKE983090 QTY983066:QUA983090 RDU983066:RDW983090 RNQ983066:RNS983090 RXM983066:RXO983090 SHI983066:SHK983090 SRE983066:SRG983090 TBA983066:TBC983090 TKW983066:TKY983090 TUS983066:TUU983090 UEO983066:UEQ983090 UOK983066:UOM983090 UYG983066:UYI983090 VIC983066:VIE983090 VRY983066:VSA983090 WBU983066:WBW983090 WLQ983066:WLS983090 E33:E50 F26:F50 G32:G50">
      <formula1>1</formula1>
      <formula2>9</formula2>
    </dataValidation>
    <dataValidation errorStyle="information" allowBlank="1" showInputMessage="1" showErrorMessage="1" errorTitle="Outside of map" error="Enter a number from 1 to 9 only" sqref="E26:E32 G26:G31"/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12</vt:i4>
      </vt:variant>
    </vt:vector>
  </HeadingPairs>
  <TitlesOfParts>
    <vt:vector size="20" baseType="lpstr">
      <vt:lpstr>Welcome</vt:lpstr>
      <vt:lpstr>Map for 5 brands</vt:lpstr>
      <vt:lpstr>5 brands calc</vt:lpstr>
      <vt:lpstr>Map for 6 brands</vt:lpstr>
      <vt:lpstr>6 brands calc</vt:lpstr>
      <vt:lpstr>Map for 7 brands</vt:lpstr>
      <vt:lpstr>Weighted approach</vt:lpstr>
      <vt:lpstr>OS Perceptual Map</vt:lpstr>
      <vt:lpstr>brand_data</vt:lpstr>
      <vt:lpstr>Brand_number</vt:lpstr>
      <vt:lpstr>closefit</vt:lpstr>
      <vt:lpstr>five_brand_data</vt:lpstr>
      <vt:lpstr>Five_brand_map</vt:lpstr>
      <vt:lpstr>five_spread</vt:lpstr>
      <vt:lpstr>six_brand_data</vt:lpstr>
      <vt:lpstr>six_set</vt:lpstr>
      <vt:lpstr>six_spread</vt:lpstr>
      <vt:lpstr>Total_spread</vt:lpstr>
      <vt:lpstr>weightings</vt:lpstr>
      <vt:lpstr>weights</vt:lpstr>
    </vt:vector>
  </TitlesOfParts>
  <Company>Cengage Learning Australia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Geoff Fripp</dc:creator>
  <cp:lastModifiedBy>Geoff</cp:lastModifiedBy>
  <dcterms:created xsi:type="dcterms:W3CDTF">2011-03-01T02:00:56Z</dcterms:created>
  <dcterms:modified xsi:type="dcterms:W3CDTF">2013-08-26T10:37:52Z</dcterms:modified>
</cp:coreProperties>
</file>